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726"/>
  <workbookPr defaultThemeVersion="166925"/>
  <mc:AlternateContent xmlns:mc="http://schemas.openxmlformats.org/markup-compatibility/2006">
    <mc:Choice Requires="x15">
      <x15ac:absPath xmlns:x15ac="http://schemas.microsoft.com/office/spreadsheetml/2010/11/ac" url="C:\Users\shazia.akhtar1\National Grid\Code Administrator - CUSC\3. CUSC Modifications\CMP337 &amp; CMP338\Workgroup Meetings\Workgroup 3\"/>
    </mc:Choice>
  </mc:AlternateContent>
  <bookViews>
    <workbookView xWindow="-105" yWindow="-105" windowWidth="19425" windowHeight="10425"/>
  </bookViews>
  <sheets>
    <sheet name="Front Sheet" sheetId="7" r:id="rId1"/>
    <sheet name="Scenario 1" sheetId="5" r:id="rId2"/>
    <sheet name="Scenario 2" sheetId="2" r:id="rId3"/>
    <sheet name="Scenario 3" sheetId="8" r:id="rId4"/>
    <sheet name="assumptions" sheetId="1" r:id="rId5"/>
  </sheets>
  <definedNames>
    <definedName name="_xlnm.Print_Area" localSheetId="1">'Scenario 1'!$B$5:$J$22</definedName>
  </definedNames>
  <calcPr calcId="171027"/>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45" i="5" l="1"/>
  <c r="G48" i="5"/>
  <c r="F21" i="2" l="1"/>
  <c r="E21" i="2"/>
  <c r="D21" i="2"/>
  <c r="G20" i="8"/>
  <c r="F20" i="8"/>
  <c r="D20" i="8"/>
  <c r="H20" i="8"/>
  <c r="E20" i="8"/>
  <c r="H21" i="2"/>
  <c r="G21" i="2"/>
  <c r="D25" i="7" l="1"/>
  <c r="E19" i="2"/>
  <c r="C45" i="5"/>
  <c r="F45" i="5" s="1"/>
  <c r="C46" i="5"/>
  <c r="E45" i="5" l="1"/>
  <c r="G7" i="7"/>
  <c r="I20" i="8"/>
  <c r="F7" i="7" s="1"/>
  <c r="H7" i="7" s="1"/>
  <c r="F8" i="8"/>
  <c r="C12" i="8"/>
  <c r="C13" i="8" s="1"/>
  <c r="E14" i="7" s="1"/>
  <c r="E7" i="8"/>
  <c r="C21" i="8" l="1"/>
  <c r="H8" i="8"/>
  <c r="G8" i="8"/>
  <c r="E8" i="8"/>
  <c r="F12" i="8"/>
  <c r="F13" i="8" s="1"/>
  <c r="D26" i="7"/>
  <c r="E26" i="7" s="1"/>
  <c r="G6" i="7"/>
  <c r="C14" i="8" l="1"/>
  <c r="D14" i="7"/>
  <c r="F14" i="7" s="1"/>
  <c r="D28" i="7"/>
  <c r="E28" i="7" s="1"/>
  <c r="D27" i="7"/>
  <c r="E27" i="7" s="1"/>
  <c r="I21" i="2"/>
  <c r="F6" i="7" s="1"/>
  <c r="I19" i="2"/>
  <c r="H6" i="7"/>
  <c r="F19" i="2"/>
  <c r="G46" i="5"/>
  <c r="D11" i="7"/>
  <c r="F46" i="5"/>
  <c r="E46" i="5"/>
  <c r="G41" i="5"/>
  <c r="I7" i="7"/>
  <c r="G39" i="5"/>
  <c r="G38" i="5"/>
  <c r="F39" i="5"/>
  <c r="F38" i="5"/>
  <c r="E39" i="5"/>
  <c r="E38" i="5"/>
  <c r="F4" i="7" l="1"/>
  <c r="G4" i="7" s="1"/>
  <c r="D21" i="7"/>
  <c r="E21" i="7" s="1"/>
  <c r="F5" i="7"/>
  <c r="G5" i="7" s="1"/>
  <c r="D12" i="7"/>
  <c r="E11" i="7"/>
  <c r="D18" i="7"/>
  <c r="E18" i="7" s="1"/>
  <c r="D19" i="7"/>
  <c r="E19" i="7" s="1"/>
  <c r="J7" i="7"/>
  <c r="F28" i="7"/>
  <c r="F19" i="7" l="1"/>
  <c r="E12" i="7"/>
  <c r="F11" i="7"/>
  <c r="F12" i="7"/>
  <c r="F21" i="7"/>
  <c r="F18" i="7"/>
  <c r="F26" i="7"/>
  <c r="F27" i="7"/>
  <c r="I6" i="7" l="1"/>
  <c r="J6" i="7" s="1"/>
  <c r="D19" i="2"/>
  <c r="K30" i="5"/>
  <c r="E5" i="7" s="1"/>
  <c r="I5" i="7" s="1"/>
  <c r="E30" i="5"/>
  <c r="E4" i="7" l="1"/>
  <c r="I4" i="7" s="1"/>
  <c r="H19" i="2"/>
  <c r="G19" i="2"/>
  <c r="F11" i="2"/>
  <c r="F12" i="2" s="1"/>
  <c r="D13" i="7" s="1"/>
  <c r="C11" i="2"/>
  <c r="C12" i="2" s="1"/>
  <c r="C13" i="2" l="1"/>
  <c r="E13" i="7"/>
  <c r="F13" i="7"/>
  <c r="F19" i="5"/>
  <c r="G19" i="5" s="1"/>
  <c r="H19" i="5" s="1"/>
  <c r="I19" i="5" s="1"/>
  <c r="J19" i="5" s="1"/>
  <c r="K19" i="5" s="1"/>
  <c r="F17" i="5"/>
  <c r="F16" i="5"/>
  <c r="G16" i="5" s="1"/>
  <c r="H16" i="5" s="1"/>
  <c r="I16" i="5" s="1"/>
  <c r="J16" i="5" s="1"/>
  <c r="K16" i="5" s="1"/>
  <c r="H15" i="5"/>
  <c r="K15" i="5" s="1"/>
  <c r="F15" i="5"/>
  <c r="H11" i="5"/>
  <c r="K11" i="5" s="1"/>
  <c r="B11" i="5"/>
  <c r="I9" i="5"/>
  <c r="E9" i="5"/>
  <c r="J15" i="5" l="1"/>
  <c r="F18" i="5"/>
  <c r="G11" i="5"/>
  <c r="I11" i="5"/>
  <c r="E11" i="5"/>
  <c r="E15" i="5"/>
  <c r="I15" i="5"/>
  <c r="J9" i="5"/>
  <c r="F11" i="5"/>
  <c r="J11" i="5"/>
  <c r="G15" i="5"/>
  <c r="G17" i="5"/>
  <c r="F9" i="5"/>
  <c r="E20" i="5" l="1"/>
  <c r="E21" i="5" s="1"/>
  <c r="E24" i="5" s="1"/>
  <c r="F20" i="5"/>
  <c r="F21" i="5"/>
  <c r="F24" i="5" s="1"/>
  <c r="H17" i="5"/>
  <c r="G18" i="5"/>
  <c r="G20" i="5" s="1"/>
  <c r="K9" i="5"/>
  <c r="G9" i="5"/>
  <c r="G21" i="5" l="1"/>
  <c r="G24" i="5" s="1"/>
  <c r="H18" i="5"/>
  <c r="H20" i="5" s="1"/>
  <c r="I17" i="5"/>
  <c r="I18" i="5" l="1"/>
  <c r="I20" i="5" s="1"/>
  <c r="I21" i="5" s="1"/>
  <c r="I24" i="5" s="1"/>
  <c r="J17" i="5"/>
  <c r="H21" i="5"/>
  <c r="H23" i="5"/>
  <c r="H24" i="5" l="1"/>
  <c r="K29" i="5"/>
  <c r="E29" i="5"/>
  <c r="H28" i="5"/>
  <c r="J18" i="5"/>
  <c r="J20" i="5" s="1"/>
  <c r="K17" i="5"/>
  <c r="K18" i="5" s="1"/>
  <c r="K20" i="5" s="1"/>
  <c r="K21" i="5" s="1"/>
  <c r="K24" i="5" s="1"/>
  <c r="N28" i="5" l="1"/>
  <c r="N29" i="5" s="1"/>
  <c r="K32" i="5" s="1"/>
  <c r="H29" i="5"/>
  <c r="E32" i="5" s="1"/>
  <c r="E25" i="7" s="1"/>
  <c r="F25" i="7" s="1"/>
  <c r="J24" i="5"/>
  <c r="J21" i="5"/>
  <c r="D4" i="7"/>
  <c r="H4" i="7" s="1"/>
  <c r="J4" i="7" s="1"/>
  <c r="E31" i="5"/>
  <c r="D5" i="7"/>
  <c r="H5" i="7" s="1"/>
  <c r="J5" i="7" s="1"/>
  <c r="K31" i="5"/>
  <c r="C16" i="2"/>
  <c r="A20" i="2" s="1"/>
  <c r="F8" i="2"/>
  <c r="H8" i="2"/>
  <c r="E8" i="2"/>
  <c r="H20" i="2" l="1"/>
  <c r="E20" i="2"/>
  <c r="I20" i="2"/>
  <c r="F20" i="2"/>
  <c r="G20" i="2"/>
  <c r="D20" i="2"/>
  <c r="E20" i="7" s="1"/>
  <c r="B24" i="1"/>
  <c r="B25" i="1" s="1"/>
  <c r="B30" i="1" s="1"/>
  <c r="D20" i="7" l="1"/>
  <c r="F20" i="7" s="1"/>
  <c r="C23" i="2"/>
  <c r="C24" i="2" s="1"/>
  <c r="B4" i="1"/>
  <c r="F12" i="1" l="1"/>
  <c r="B28" i="1" s="1"/>
  <c r="B32" i="1" s="1"/>
  <c r="F2" i="1"/>
  <c r="B15" i="1" s="1"/>
  <c r="B19" i="1" s="1"/>
  <c r="F3" i="1"/>
  <c r="B16" i="1" s="1"/>
  <c r="B20" i="1" s="1"/>
  <c r="B21" i="1" s="1"/>
  <c r="E21" i="1" s="1"/>
  <c r="G8" i="2" l="1"/>
</calcChain>
</file>

<file path=xl/comments1.xml><?xml version="1.0" encoding="utf-8"?>
<comments xmlns="http://schemas.openxmlformats.org/spreadsheetml/2006/main">
  <authors>
    <author>National Grid</author>
  </authors>
  <commentList>
    <comment ref="C7" authorId="0" shapeId="0">
      <text>
        <r>
          <rPr>
            <b/>
            <sz val="9"/>
            <color indexed="81"/>
            <rFont val="Tahoma"/>
            <family val="2"/>
          </rPr>
          <t>National Grid:</t>
        </r>
        <r>
          <rPr>
            <sz val="9"/>
            <color indexed="81"/>
            <rFont val="Tahoma"/>
            <family val="2"/>
          </rPr>
          <t xml:space="preserve">
Change this to 360 to calculate the tariffs plus contribution.</t>
        </r>
      </text>
    </comment>
  </commentList>
</comments>
</file>

<file path=xl/sharedStrings.xml><?xml version="1.0" encoding="utf-8"?>
<sst xmlns="http://schemas.openxmlformats.org/spreadsheetml/2006/main" count="267" uniqueCount="159">
  <si>
    <t>cable converters</t>
  </si>
  <si>
    <t>rest</t>
  </si>
  <si>
    <t>total</t>
  </si>
  <si>
    <t>(£m)</t>
  </si>
  <si>
    <t>description</t>
  </si>
  <si>
    <t>cost</t>
  </si>
  <si>
    <t>unit</t>
  </si>
  <si>
    <t>illustrative (will be approved through SHETL needs case by Ofgem)</t>
  </si>
  <si>
    <t>DNO Contribution</t>
  </si>
  <si>
    <t>%</t>
  </si>
  <si>
    <t>Splitting the contribution</t>
  </si>
  <si>
    <t>New numbers for the T&amp;T model</t>
  </si>
  <si>
    <t>to ensure the contribution is reflected in both cost pots</t>
  </si>
  <si>
    <t>reduce Expansion Factor</t>
  </si>
  <si>
    <t>reduce General TO MAR costs</t>
  </si>
  <si>
    <t>Adjustment to Expansion Factor</t>
  </si>
  <si>
    <t>Expansion Factor without contribution</t>
  </si>
  <si>
    <t>Expansion Factor with contribution</t>
  </si>
  <si>
    <t>illustrative</t>
  </si>
  <si>
    <t>cable length</t>
  </si>
  <si>
    <t>km</t>
  </si>
  <si>
    <t>cable capacity</t>
  </si>
  <si>
    <t>MW</t>
  </si>
  <si>
    <t>£/MWkm</t>
  </si>
  <si>
    <t>inflating the 2019 figure for 2024 connection date and then calculating £/MWkm</t>
  </si>
  <si>
    <t>annuitised rate</t>
  </si>
  <si>
    <t>expansion constant (this is recalculated for every price control)</t>
  </si>
  <si>
    <t>£/MWkm/annum</t>
  </si>
  <si>
    <t>illustrative (NGESO don't see this figure explicitly)</t>
  </si>
  <si>
    <t>Information</t>
  </si>
  <si>
    <t>CUSC 14.15.92 (1.8 for circuits with redundancy, all wider)</t>
  </si>
  <si>
    <t>illustrative (exact amount will be approved by Ofgem)</t>
  </si>
  <si>
    <t>annualised cost + associated annual O&amp;M</t>
  </si>
  <si>
    <t>Generation - Wider Tariff Elements</t>
  </si>
  <si>
    <t>Zone No.</t>
  </si>
  <si>
    <t>Zone Name</t>
  </si>
  <si>
    <t>Peak Security (£/kW)</t>
  </si>
  <si>
    <t>Year Round Shared (£/kW)</t>
  </si>
  <si>
    <t>Year Round Not Shared (£/kW)</t>
  </si>
  <si>
    <t>Residual (£/kW)</t>
  </si>
  <si>
    <t>North Scotland</t>
  </si>
  <si>
    <t>Scenario</t>
  </si>
  <si>
    <t>Scenario 2 (with contribution)</t>
  </si>
  <si>
    <t>Scenario 2 (no contribution)</t>
  </si>
  <si>
    <t>Notes</t>
  </si>
  <si>
    <t>Delta</t>
  </si>
  <si>
    <t>Scenario 2</t>
  </si>
  <si>
    <t>Carbon</t>
  </si>
  <si>
    <t>Low Carbon</t>
  </si>
  <si>
    <t>GW of chargeable TEC in the 24/25 T&amp;T model</t>
  </si>
  <si>
    <t>Expansion constant (2018/19) £/MWkm</t>
  </si>
  <si>
    <t>Annual Inflation (RPI</t>
  </si>
  <si>
    <t>Capex Base year</t>
  </si>
  <si>
    <t>HVDC Element</t>
  </si>
  <si>
    <t>Caithness-Moray</t>
  </si>
  <si>
    <t>600MW HVDC  (T'ed into Caithness-Moray  to Shetland)</t>
  </si>
  <si>
    <t xml:space="preserve">+ 20% </t>
  </si>
  <si>
    <t>+10%</t>
  </si>
  <si>
    <t>+5%</t>
  </si>
  <si>
    <t>Core</t>
  </si>
  <si>
    <t>-5%</t>
  </si>
  <si>
    <t>-10%</t>
  </si>
  <si>
    <t>-20%</t>
  </si>
  <si>
    <r>
      <t xml:space="preserve">Capital costs of relevant components (cable &amp; converter stations) </t>
    </r>
    <r>
      <rPr>
        <sz val="10"/>
        <color theme="1"/>
        <rFont val="Calibri"/>
        <family val="2"/>
        <scheme val="minor"/>
      </rPr>
      <t>(£m in 2018/19 prices, as provided by SSE in Jan 2019)</t>
    </r>
  </si>
  <si>
    <t>Capacity (MW)</t>
  </si>
  <si>
    <t>Length</t>
  </si>
  <si>
    <t>Security Factor</t>
  </si>
  <si>
    <t>* Caithness-Moray project cost was treated as per TCMF outcome, to reflect its impact on Shetland local circuit tariff. For detail please see the C_MLink tab</t>
  </si>
  <si>
    <t>Depreciation (years)</t>
  </si>
  <si>
    <t>Rate (%)</t>
  </si>
  <si>
    <t>Annuity</t>
  </si>
  <si>
    <t>Overhead</t>
  </si>
  <si>
    <t>Annualised Cost (£/mwkm/annum)</t>
  </si>
  <si>
    <t>Indicative Tariff Element first leg (£/kW)</t>
  </si>
  <si>
    <t>Expansion Factor*</t>
  </si>
  <si>
    <t>T&amp;T model expansion factor*</t>
  </si>
  <si>
    <t>expansion constant 20_24</t>
  </si>
  <si>
    <t>Indicative Local Circuit Tariff (£/kW) - HVDC circuit including three legs</t>
  </si>
  <si>
    <t>Caithness-Moray plus Shetland HVDC</t>
  </si>
  <si>
    <t>* Approximate figure, as wider system impact is not included here - need to run the full GB model to determine</t>
  </si>
  <si>
    <t>Shetland Link (in 2023/24 price)</t>
  </si>
  <si>
    <t>Connection Year</t>
  </si>
  <si>
    <t>RIIO T2 expansion constant</t>
  </si>
  <si>
    <t>Scenario 2: Link included in Zone 1 Tariffs</t>
  </si>
  <si>
    <t>Scenario 1: Link charged as a Local Circuit</t>
  </si>
  <si>
    <t>NO CONTRIBUTION</t>
  </si>
  <si>
    <t>CONTRIBUTION</t>
  </si>
  <si>
    <t>£/MW</t>
  </si>
  <si>
    <t>Residual</t>
  </si>
  <si>
    <t>Shetland</t>
  </si>
  <si>
    <t>Scenario 3: Link included in a new Shetland Zone wider tariffs</t>
  </si>
  <si>
    <t>2024/25</t>
  </si>
  <si>
    <t>Local Circuit Tariff w contr.</t>
  </si>
  <si>
    <t>security factor to replace the 1.8 security factor</t>
  </si>
  <si>
    <t>Impact of the increase in the residual tariff</t>
  </si>
  <si>
    <t>Residual with contribution (£/GW)</t>
  </si>
  <si>
    <t>Residual Tariff without contribution (£/GW)</t>
  </si>
  <si>
    <t>Total credit to GB generators without</t>
  </si>
  <si>
    <t>Total credit to GB generators with</t>
  </si>
  <si>
    <t>per year extra recovered from all GB gen as a result of the contribution (reduction in the credit given through the residual)</t>
  </si>
  <si>
    <t>Impact of the decrease in the Zone 1 YR and YRNS tariffs</t>
  </si>
  <si>
    <t>GW of Chargeable TEC in Z1 including Shetland Developers</t>
  </si>
  <si>
    <t>With Contribution</t>
  </si>
  <si>
    <t>Year Round Total</t>
  </si>
  <si>
    <t>YR Not Shared Total</t>
  </si>
  <si>
    <t>Without Contribution</t>
  </si>
  <si>
    <t>less paid by Shetland generators (as a subset of the above benefit to all Zone 1 connected generators)</t>
  </si>
  <si>
    <t>less paid by Z1 generators as a result of the contribution through their wider locational tariff</t>
  </si>
  <si>
    <t>excludes Orkney and Western Isles assets, security factor 1.0</t>
  </si>
  <si>
    <t>excludes Orkney and Western Isles assets, security factor 1.1</t>
  </si>
  <si>
    <t>£ benefit for TDR pot per year (capital assets only)</t>
  </si>
  <si>
    <t>Scenario 1a</t>
  </si>
  <si>
    <t>£ per year for Shetland Developers without</t>
  </si>
  <si>
    <t>£ per year for Shetland Developers with</t>
  </si>
  <si>
    <t>£ benefit per year for Shetland Developers</t>
  </si>
  <si>
    <t>Scenario 1b</t>
  </si>
  <si>
    <t>Scenario 3</t>
  </si>
  <si>
    <t>Where there is 600MW of TEC connected on Shetland. Shetland developers will pay all of the Local Circuit costs. A remaining portion of scheme costs (those unrelated to the cables and converters) are recovered through the Transmission Demand Residual</t>
  </si>
  <si>
    <t>n/a</t>
  </si>
  <si>
    <t>Annual LCT Costs paid by Shetland Developers (without a contribution)</t>
  </si>
  <si>
    <t>Annual LCT Costs paid by Shetland Developers (with a contribution)</t>
  </si>
  <si>
    <t>peak</t>
  </si>
  <si>
    <t>YR</t>
  </si>
  <si>
    <t>YRNS</t>
  </si>
  <si>
    <t>residual</t>
  </si>
  <si>
    <t>Annual Wider Costs paid by Shetland Developers (without a contribution)</t>
  </si>
  <si>
    <t>Annual Wider Costs paid by Shetland Developers (with a contribution)</t>
  </si>
  <si>
    <t>Annual Total (without)</t>
  </si>
  <si>
    <t>Annual Total (with)</t>
  </si>
  <si>
    <t>Where there is a MITS node on Shetland and the link forms part of the wider network. Link costs are included in the wider zonal tariffs and are paid by all Zone 1 generators which have TEC. Security Factor for the link is 1.0 assuming the CMP320 original is approved.</t>
  </si>
  <si>
    <t>Where there is a MITS node on Shetland and the link forms part of the wider network. However, a new Shetland zone is created as the nodal cost difference exceeds that laid out in CUSC. Security Factor for the link is 1.0 assuming the CMP320 original is approved.</t>
  </si>
  <si>
    <t>Annual GB Residual Costs (without a contribution)</t>
  </si>
  <si>
    <t>Annual GB Residual Costs (with a contribution)</t>
  </si>
  <si>
    <t>Annual Wider Costs paid by Zone 1 (without a contribution)</t>
  </si>
  <si>
    <t>Annual Wider Costs paid by Zone 1 (with a contribution)</t>
  </si>
  <si>
    <t>Annual TDR bill (without a contribution)</t>
  </si>
  <si>
    <t>Annual TDR bill (with a contribution)</t>
  </si>
  <si>
    <t>Annual TDR bill</t>
  </si>
  <si>
    <t>wider charges for all zone 1</t>
  </si>
  <si>
    <t>wider charges for shetland only</t>
  </si>
  <si>
    <t>Annual Impact of contribution (£m)</t>
  </si>
  <si>
    <t>Scenario 3 (with contribution)</t>
  </si>
  <si>
    <t>excludes Orkney and Western Isles assets</t>
  </si>
  <si>
    <t>Scenario 3 (no contribution)</t>
  </si>
  <si>
    <t>effect of contribution on residual is negligible, as only zone 0 generators see the benefit via wider tariffs</t>
  </si>
  <si>
    <t>GW of Chargeable TEC in  Shetland</t>
  </si>
  <si>
    <t>Impact of the decrease in the Shetland YRNS tariffs</t>
  </si>
  <si>
    <t>Where the "anchor project" with TEC of 457MW is the only Local Circuit Payer, in this scenario the remaining unrecovered costs associated with the Local Circuit are paid by the Transmission Demand Residual payers. A remaining portion of scheme costs (those unrelated to the cables and converters) are recovered through the Transmission Demand Residual.
The cost difference between Scenario 1a and 1b is entirely driven by the effect of the TEC amount and prevailing TNUoS methodology, and not the contribution or modifications 337/8. Whether a link is approved with less contracted generation than its capacity would be a policy decision determined separately by the Authority.</t>
  </si>
  <si>
    <t>Anchor Project TEC as per the TEC Register is 457 MW</t>
  </si>
  <si>
    <t>£ per year without</t>
  </si>
  <si>
    <t>£ per year with</t>
  </si>
  <si>
    <t>£ benefit per year</t>
  </si>
  <si>
    <t>Scenario 1a - TEC of 457MW</t>
  </si>
  <si>
    <t>Scenario 1b - TEC of 600MW</t>
  </si>
  <si>
    <r>
      <t xml:space="preserve">All numbers given are in £m, all figures are </t>
    </r>
    <r>
      <rPr>
        <sz val="14"/>
        <color rgb="FFFF0000"/>
        <rFont val="Calibri"/>
        <family val="2"/>
        <scheme val="minor"/>
      </rPr>
      <t>illustrative</t>
    </r>
    <r>
      <rPr>
        <sz val="14"/>
        <color theme="1"/>
        <rFont val="Calibri"/>
        <family val="2"/>
        <scheme val="minor"/>
      </rPr>
      <t xml:space="preserve"> annual estimates, red (negative numbers) indicates a cost to this group when comparing a no contribution charge with a contribution charge. In all scenarios the link is assumed to be built.</t>
    </r>
  </si>
  <si>
    <r>
      <rPr>
        <b/>
        <sz val="11"/>
        <color theme="5"/>
        <rFont val="Calibri"/>
        <family val="2"/>
        <scheme val="minor"/>
      </rPr>
      <t>Impact on GB Generator Residual</t>
    </r>
    <r>
      <rPr>
        <b/>
        <sz val="11"/>
        <color theme="1"/>
        <rFont val="Calibri"/>
        <family val="2"/>
        <scheme val="minor"/>
      </rPr>
      <t xml:space="preserve">
Description</t>
    </r>
  </si>
  <si>
    <r>
      <rPr>
        <b/>
        <sz val="11"/>
        <color theme="5"/>
        <rFont val="Calibri"/>
        <family val="2"/>
        <scheme val="minor"/>
      </rPr>
      <t>Impact on the wider costs paid by Zone 1 generators</t>
    </r>
    <r>
      <rPr>
        <b/>
        <sz val="11"/>
        <color theme="1"/>
        <rFont val="Calibri"/>
        <family val="2"/>
        <scheme val="minor"/>
      </rPr>
      <t xml:space="preserve">
Description</t>
    </r>
  </si>
  <si>
    <r>
      <rPr>
        <b/>
        <sz val="11"/>
        <color theme="5"/>
        <rFont val="Calibri"/>
        <family val="2"/>
        <scheme val="minor"/>
      </rPr>
      <t>Impact on the Transmission Demand Residual pot</t>
    </r>
    <r>
      <rPr>
        <b/>
        <sz val="11"/>
        <color theme="1"/>
        <rFont val="Calibri"/>
        <family val="2"/>
        <scheme val="minor"/>
      </rPr>
      <t xml:space="preserve">
Description</t>
    </r>
  </si>
  <si>
    <r>
      <rPr>
        <b/>
        <sz val="11"/>
        <color theme="5"/>
        <rFont val="Calibri"/>
        <family val="2"/>
        <scheme val="minor"/>
      </rPr>
      <t xml:space="preserve">Impact on Shetland Developers  </t>
    </r>
    <r>
      <rPr>
        <b/>
        <sz val="11"/>
        <color theme="1"/>
        <rFont val="Calibri"/>
        <family val="2"/>
        <scheme val="minor"/>
      </rPr>
      <t xml:space="preserve">
Description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</si>
</sst>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44" formatCode="_-&quot;£&quot;* #,##0.00_-;\-&quot;£&quot;* #,##0.00_-;_-&quot;£&quot;* &quot;-&quot;??_-;_-@_-"/>
    <numFmt numFmtId="43" formatCode="_-* #,##0.00_-;\-* #,##0.00_-;_-* &quot;-&quot;??_-;_-@_-"/>
    <numFmt numFmtId="164" formatCode="mmm\-yyyy"/>
    <numFmt numFmtId="165" formatCode="0.0%"/>
    <numFmt numFmtId="166" formatCode="0.000"/>
    <numFmt numFmtId="167" formatCode="0.0"/>
    <numFmt numFmtId="168" formatCode="0_)"/>
    <numFmt numFmtId="169" formatCode="0.000000_)"/>
    <numFmt numFmtId="170" formatCode="0.00_)"/>
    <numFmt numFmtId="171" formatCode="_-* #,##0.0_-;\-* #,##0.0_-;_-* &quot;-&quot;??_-;_-@_-"/>
    <numFmt numFmtId="172" formatCode="0_ ;\-0\ "/>
    <numFmt numFmtId="173" formatCode="_-* #,##0_-;\-* #,##0_-;_-* &quot;-&quot;??_-;_-@_-"/>
    <numFmt numFmtId="174" formatCode="0.00_ ;\-0.00\ "/>
    <numFmt numFmtId="175" formatCode="_-* #,##0.000000_-;\-* #,##0.000000_-;_-* &quot;-&quot;??_-;_-@_-"/>
    <numFmt numFmtId="176" formatCode="#,##0.000000"/>
    <numFmt numFmtId="177" formatCode="_-&quot;£&quot;* #,##0_-;\-&quot;£&quot;* #,##0_-;_-&quot;£&quot;* &quot;-&quot;??_-;_-@_-"/>
  </numFmts>
  <fonts count="26"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sz val="12"/>
      <name val="Arial"/>
      <family val="2"/>
    </font>
    <font>
      <b/>
      <sz val="10"/>
      <color indexed="9"/>
      <name val="Arial"/>
      <family val="2"/>
    </font>
    <font>
      <sz val="10"/>
      <name val="Arial"/>
      <family val="2"/>
    </font>
    <font>
      <b/>
      <sz val="10"/>
      <name val="Arial"/>
      <family val="2"/>
    </font>
    <font>
      <sz val="10"/>
      <color theme="1"/>
      <name val="Calibri"/>
      <family val="2"/>
      <scheme val="minor"/>
    </font>
    <font>
      <sz val="11"/>
      <name val="Calibri"/>
      <family val="2"/>
      <scheme val="minor"/>
    </font>
    <font>
      <b/>
      <u/>
      <sz val="10"/>
      <color theme="1"/>
      <name val="Calibri"/>
      <family val="2"/>
      <scheme val="minor"/>
    </font>
    <font>
      <b/>
      <sz val="10"/>
      <color rgb="FF000000"/>
      <name val="Calibri"/>
      <family val="2"/>
      <scheme val="minor"/>
    </font>
    <font>
      <b/>
      <sz val="10"/>
      <color theme="1"/>
      <name val="Calibri"/>
      <family val="2"/>
      <scheme val="minor"/>
    </font>
    <font>
      <sz val="10"/>
      <name val="Calibri"/>
      <family val="2"/>
      <scheme val="minor"/>
    </font>
    <font>
      <sz val="10"/>
      <color rgb="FF7030A0"/>
      <name val="Calibri"/>
      <family val="2"/>
      <scheme val="minor"/>
    </font>
    <font>
      <sz val="10"/>
      <color theme="0" tint="-0.34998626667073579"/>
      <name val="Calibri"/>
      <family val="2"/>
      <scheme val="minor"/>
    </font>
    <font>
      <i/>
      <sz val="10"/>
      <color theme="1"/>
      <name val="Calibri"/>
      <family val="2"/>
      <scheme val="minor"/>
    </font>
    <font>
      <b/>
      <sz val="16"/>
      <color theme="0"/>
      <name val="Calibri"/>
      <family val="2"/>
      <scheme val="minor"/>
    </font>
    <font>
      <sz val="18"/>
      <color theme="1"/>
      <name val="Calibri"/>
      <family val="2"/>
      <scheme val="minor"/>
    </font>
    <font>
      <sz val="9"/>
      <color indexed="81"/>
      <name val="Tahoma"/>
      <family val="2"/>
    </font>
    <font>
      <b/>
      <sz val="9"/>
      <color indexed="81"/>
      <name val="Tahoma"/>
      <family val="2"/>
    </font>
    <font>
      <b/>
      <sz val="14"/>
      <color theme="1"/>
      <name val="Calibri"/>
      <family val="2"/>
      <scheme val="minor"/>
    </font>
    <font>
      <sz val="14"/>
      <color theme="1"/>
      <name val="Calibri"/>
      <family val="2"/>
      <scheme val="minor"/>
    </font>
    <font>
      <sz val="10"/>
      <color theme="1"/>
      <name val="Arial"/>
      <family val="2"/>
    </font>
    <font>
      <b/>
      <sz val="11"/>
      <color theme="5"/>
      <name val="Calibri"/>
      <family val="2"/>
      <scheme val="minor"/>
    </font>
    <font>
      <sz val="14"/>
      <color rgb="FFFF0000"/>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theme="7" tint="0.59999389629810485"/>
        <bgColor indexed="64"/>
      </patternFill>
    </fill>
    <fill>
      <patternFill patternType="solid">
        <fgColor theme="6" tint="0.39997558519241921"/>
        <bgColor indexed="64"/>
      </patternFill>
    </fill>
    <fill>
      <patternFill patternType="solid">
        <fgColor indexed="8"/>
        <bgColor indexed="64"/>
      </patternFill>
    </fill>
    <fill>
      <patternFill patternType="solid">
        <fgColor indexed="22"/>
        <bgColor indexed="64"/>
      </patternFill>
    </fill>
    <fill>
      <patternFill patternType="solid">
        <fgColor theme="4" tint="0.39997558519241921"/>
        <bgColor indexed="64"/>
      </patternFill>
    </fill>
    <fill>
      <patternFill patternType="solid">
        <fgColor theme="5" tint="0.59999389629810485"/>
        <bgColor indexed="64"/>
      </patternFill>
    </fill>
    <fill>
      <patternFill patternType="solid">
        <fgColor rgb="FFFFC000"/>
        <bgColor indexed="64"/>
      </patternFill>
    </fill>
    <fill>
      <patternFill patternType="solid">
        <fgColor theme="5" tint="0.79998168889431442"/>
        <bgColor indexed="64"/>
      </patternFill>
    </fill>
    <fill>
      <patternFill patternType="solid">
        <fgColor theme="0"/>
        <bgColor indexed="64"/>
      </patternFill>
    </fill>
    <fill>
      <patternFill patternType="solid">
        <fgColor theme="7"/>
        <bgColor indexed="64"/>
      </patternFill>
    </fill>
    <fill>
      <patternFill patternType="solid">
        <fgColor theme="0" tint="-0.14999847407452621"/>
        <bgColor indexed="64"/>
      </patternFill>
    </fill>
    <fill>
      <patternFill patternType="solid">
        <fgColor rgb="FFFFCCFF"/>
        <bgColor indexed="64"/>
      </patternFill>
    </fill>
  </fills>
  <borders count="16">
    <border>
      <left/>
      <right/>
      <top/>
      <bottom/>
      <diagonal/>
    </border>
    <border>
      <left style="medium">
        <color indexed="8"/>
      </left>
      <right style="medium">
        <color indexed="8"/>
      </right>
      <top style="medium">
        <color indexed="8"/>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thin">
        <color indexed="64"/>
      </bottom>
      <diagonal/>
    </border>
  </borders>
  <cellStyleXfs count="7">
    <xf numFmtId="0" fontId="0" fillId="0" borderId="0"/>
    <xf numFmtId="9"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0" fontId="4" fillId="0" borderId="0"/>
    <xf numFmtId="43" fontId="1" fillId="0" borderId="0" applyFont="0" applyFill="0" applyBorder="0" applyAlignment="0" applyProtection="0"/>
    <xf numFmtId="44" fontId="1" fillId="0" borderId="0" applyFont="0" applyFill="0" applyBorder="0" applyAlignment="0" applyProtection="0"/>
  </cellStyleXfs>
  <cellXfs count="152">
    <xf numFmtId="0" fontId="0" fillId="0" borderId="0" xfId="0"/>
    <xf numFmtId="0" fontId="0" fillId="2" borderId="0" xfId="0" applyFill="1"/>
    <xf numFmtId="0" fontId="0" fillId="3" borderId="0" xfId="0" applyFill="1"/>
    <xf numFmtId="164" fontId="0" fillId="0" borderId="0" xfId="0" applyNumberFormat="1"/>
    <xf numFmtId="9" fontId="0" fillId="0" borderId="0" xfId="1" applyFont="1"/>
    <xf numFmtId="0" fontId="0" fillId="4" borderId="0" xfId="0" applyFill="1"/>
    <xf numFmtId="0" fontId="2" fillId="0" borderId="0" xfId="0" applyFont="1"/>
    <xf numFmtId="165" fontId="0" fillId="0" borderId="0" xfId="1" applyNumberFormat="1" applyFont="1"/>
    <xf numFmtId="166" fontId="0" fillId="0" borderId="0" xfId="1" applyNumberFormat="1" applyFont="1"/>
    <xf numFmtId="167" fontId="0" fillId="0" borderId="0" xfId="0" applyNumberFormat="1"/>
    <xf numFmtId="2" fontId="0" fillId="0" borderId="0" xfId="0" applyNumberFormat="1"/>
    <xf numFmtId="167" fontId="0" fillId="3" borderId="0" xfId="0" applyNumberFormat="1" applyFill="1"/>
    <xf numFmtId="1" fontId="0" fillId="3" borderId="0" xfId="0" applyNumberFormat="1" applyFill="1"/>
    <xf numFmtId="165" fontId="0" fillId="3" borderId="0" xfId="1" applyNumberFormat="1" applyFont="1" applyFill="1"/>
    <xf numFmtId="2" fontId="0" fillId="3" borderId="0" xfId="0" applyNumberFormat="1" applyFill="1"/>
    <xf numFmtId="168" fontId="5" fillId="5" borderId="1" xfId="4" applyNumberFormat="1" applyFont="1" applyFill="1" applyBorder="1" applyProtection="1">
      <protection hidden="1"/>
    </xf>
    <xf numFmtId="2" fontId="6" fillId="0" borderId="0" xfId="4" applyNumberFormat="1" applyFont="1" applyBorder="1" applyProtection="1">
      <protection hidden="1"/>
    </xf>
    <xf numFmtId="0" fontId="6" fillId="0" borderId="0" xfId="4" applyFont="1" applyProtection="1">
      <protection hidden="1"/>
    </xf>
    <xf numFmtId="0" fontId="0" fillId="0" borderId="5" xfId="2" applyNumberFormat="1" applyFont="1" applyBorder="1" applyAlignment="1">
      <alignment horizontal="center"/>
    </xf>
    <xf numFmtId="0" fontId="0" fillId="0" borderId="5" xfId="0" applyBorder="1"/>
    <xf numFmtId="169" fontId="0" fillId="0" borderId="5" xfId="2" applyNumberFormat="1" applyFont="1" applyBorder="1" applyAlignment="1">
      <alignment horizontal="center"/>
    </xf>
    <xf numFmtId="168" fontId="5" fillId="5" borderId="0" xfId="4" applyNumberFormat="1" applyFont="1" applyFill="1" applyBorder="1" applyProtection="1">
      <protection hidden="1"/>
    </xf>
    <xf numFmtId="0" fontId="0" fillId="0" borderId="6" xfId="2" applyNumberFormat="1" applyFont="1" applyBorder="1" applyAlignment="1">
      <alignment horizontal="center"/>
    </xf>
    <xf numFmtId="0" fontId="0" fillId="0" borderId="6" xfId="0" applyBorder="1"/>
    <xf numFmtId="170" fontId="0" fillId="0" borderId="6" xfId="2" applyNumberFormat="1" applyFont="1" applyBorder="1" applyAlignment="1">
      <alignment horizontal="center"/>
    </xf>
    <xf numFmtId="44" fontId="2" fillId="8" borderId="0" xfId="3" applyFont="1" applyFill="1"/>
    <xf numFmtId="0" fontId="2" fillId="8" borderId="0" xfId="0" applyFont="1" applyFill="1"/>
    <xf numFmtId="0" fontId="0" fillId="8" borderId="0" xfId="0" applyFill="1"/>
    <xf numFmtId="44" fontId="2" fillId="8" borderId="0" xfId="0" applyNumberFormat="1" applyFont="1" applyFill="1"/>
    <xf numFmtId="0" fontId="8" fillId="0" borderId="0" xfId="0" applyFont="1"/>
    <xf numFmtId="0" fontId="8" fillId="9" borderId="0" xfId="0" applyFont="1" applyFill="1"/>
    <xf numFmtId="0" fontId="8" fillId="0" borderId="0" xfId="0" applyFont="1" applyFill="1"/>
    <xf numFmtId="0" fontId="9" fillId="0" borderId="0" xfId="0" applyFont="1" applyFill="1"/>
    <xf numFmtId="0" fontId="3" fillId="0" borderId="0" xfId="0" applyFont="1" applyFill="1"/>
    <xf numFmtId="9" fontId="9" fillId="9" borderId="0" xfId="0" applyNumberFormat="1" applyFont="1" applyFill="1"/>
    <xf numFmtId="0" fontId="9" fillId="9" borderId="0" xfId="0" applyFont="1" applyFill="1"/>
    <xf numFmtId="0" fontId="10" fillId="0" borderId="0" xfId="0" applyFont="1"/>
    <xf numFmtId="0" fontId="11" fillId="0" borderId="0" xfId="0" applyFont="1" applyFill="1" applyBorder="1" applyAlignment="1">
      <alignment horizontal="center" vertical="center"/>
    </xf>
    <xf numFmtId="9" fontId="11" fillId="8" borderId="8" xfId="0" quotePrefix="1" applyNumberFormat="1" applyFont="1" applyFill="1" applyBorder="1" applyAlignment="1">
      <alignment horizontal="center" vertical="center"/>
    </xf>
    <xf numFmtId="0" fontId="11" fillId="8" borderId="8" xfId="0" quotePrefix="1" applyFont="1" applyFill="1" applyBorder="1" applyAlignment="1">
      <alignment horizontal="center" vertical="center"/>
    </xf>
    <xf numFmtId="0" fontId="11" fillId="8" borderId="8" xfId="0" applyFont="1" applyFill="1" applyBorder="1" applyAlignment="1">
      <alignment horizontal="center" vertical="center"/>
    </xf>
    <xf numFmtId="0" fontId="12" fillId="0" borderId="0" xfId="0" applyFont="1" applyFill="1" applyAlignment="1">
      <alignment wrapText="1"/>
    </xf>
    <xf numFmtId="171" fontId="13" fillId="9" borderId="0" xfId="2" applyNumberFormat="1" applyFont="1" applyFill="1" applyBorder="1"/>
    <xf numFmtId="171" fontId="13" fillId="0" borderId="3" xfId="2" applyNumberFormat="1" applyFont="1" applyFill="1" applyBorder="1"/>
    <xf numFmtId="171" fontId="13" fillId="0" borderId="0" xfId="2" applyNumberFormat="1" applyFont="1" applyFill="1" applyBorder="1"/>
    <xf numFmtId="171" fontId="13" fillId="0" borderId="0" xfId="2" applyNumberFormat="1" applyFont="1" applyFill="1"/>
    <xf numFmtId="171" fontId="13" fillId="10" borderId="0" xfId="2" applyNumberFormat="1" applyFont="1" applyFill="1" applyBorder="1"/>
    <xf numFmtId="43" fontId="8" fillId="0" borderId="0" xfId="0" applyNumberFormat="1" applyFont="1"/>
    <xf numFmtId="0" fontId="12" fillId="0" borderId="0" xfId="0" applyFont="1" applyFill="1" applyBorder="1" applyAlignment="1"/>
    <xf numFmtId="10" fontId="8" fillId="0" borderId="0" xfId="1" applyNumberFormat="1" applyFont="1" applyFill="1" applyBorder="1"/>
    <xf numFmtId="172" fontId="13" fillId="0" borderId="3" xfId="2" applyNumberFormat="1" applyFont="1" applyFill="1" applyBorder="1"/>
    <xf numFmtId="173" fontId="13" fillId="0" borderId="0" xfId="2" applyNumberFormat="1" applyFont="1" applyFill="1" applyBorder="1"/>
    <xf numFmtId="173" fontId="13" fillId="10" borderId="0" xfId="2" applyNumberFormat="1" applyFont="1" applyFill="1" applyBorder="1"/>
    <xf numFmtId="0" fontId="8" fillId="0" borderId="0" xfId="0" applyFont="1" applyFill="1" applyBorder="1" applyAlignment="1"/>
    <xf numFmtId="173" fontId="13" fillId="0" borderId="3" xfId="2" applyNumberFormat="1" applyFont="1" applyBorder="1" applyAlignment="1">
      <alignment horizontal="right"/>
    </xf>
    <xf numFmtId="173" fontId="13" fillId="0" borderId="0" xfId="2" applyNumberFormat="1" applyFont="1" applyAlignment="1">
      <alignment horizontal="right"/>
    </xf>
    <xf numFmtId="173" fontId="14" fillId="10" borderId="0" xfId="2" applyNumberFormat="1" applyFont="1" applyFill="1" applyAlignment="1">
      <alignment horizontal="right"/>
    </xf>
    <xf numFmtId="173" fontId="13" fillId="0" borderId="3" xfId="2" applyNumberFormat="1" applyFont="1" applyFill="1" applyBorder="1"/>
    <xf numFmtId="173" fontId="13" fillId="11" borderId="0" xfId="2" applyNumberFormat="1" applyFont="1" applyFill="1" applyBorder="1"/>
    <xf numFmtId="0" fontId="14" fillId="0" borderId="0" xfId="0" applyFont="1" applyFill="1" applyBorder="1" applyAlignment="1"/>
    <xf numFmtId="173" fontId="13" fillId="9" borderId="0" xfId="2" applyNumberFormat="1" applyFont="1" applyFill="1" applyBorder="1"/>
    <xf numFmtId="173" fontId="13" fillId="9" borderId="3" xfId="2" applyNumberFormat="1" applyFont="1" applyFill="1" applyBorder="1"/>
    <xf numFmtId="10" fontId="13" fillId="9" borderId="3" xfId="1" applyNumberFormat="1" applyFont="1" applyFill="1" applyBorder="1"/>
    <xf numFmtId="10" fontId="13" fillId="0" borderId="3" xfId="1" applyNumberFormat="1" applyFont="1" applyFill="1" applyBorder="1"/>
    <xf numFmtId="10" fontId="13" fillId="0" borderId="0" xfId="1" applyNumberFormat="1" applyFont="1" applyFill="1" applyBorder="1"/>
    <xf numFmtId="10" fontId="13" fillId="10" borderId="0" xfId="2" applyNumberFormat="1" applyFont="1" applyFill="1" applyBorder="1"/>
    <xf numFmtId="10" fontId="13" fillId="0" borderId="3" xfId="2" applyNumberFormat="1" applyFont="1" applyFill="1" applyBorder="1"/>
    <xf numFmtId="10" fontId="13" fillId="0" borderId="0" xfId="2" applyNumberFormat="1" applyFont="1" applyFill="1" applyBorder="1"/>
    <xf numFmtId="10" fontId="13" fillId="9" borderId="3" xfId="2" applyNumberFormat="1" applyFont="1" applyFill="1" applyBorder="1"/>
    <xf numFmtId="174" fontId="13" fillId="0" borderId="0" xfId="2" applyNumberFormat="1" applyFont="1" applyFill="1" applyBorder="1"/>
    <xf numFmtId="174" fontId="13" fillId="0" borderId="3" xfId="2" applyNumberFormat="1" applyFont="1" applyFill="1" applyBorder="1"/>
    <xf numFmtId="43" fontId="13" fillId="10" borderId="0" xfId="2" applyNumberFormat="1" applyFont="1" applyFill="1" applyBorder="1"/>
    <xf numFmtId="0" fontId="12" fillId="0" borderId="0" xfId="0" applyFont="1"/>
    <xf numFmtId="43" fontId="11" fillId="0" borderId="0" xfId="2" applyFont="1" applyFill="1" applyBorder="1" applyAlignment="1">
      <alignment horizontal="center" vertical="center"/>
    </xf>
    <xf numFmtId="43" fontId="11" fillId="7" borderId="4" xfId="2" applyFont="1" applyFill="1" applyBorder="1" applyAlignment="1">
      <alignment horizontal="center" vertical="center"/>
    </xf>
    <xf numFmtId="43" fontId="11" fillId="8" borderId="8" xfId="2" applyFont="1" applyFill="1" applyBorder="1" applyAlignment="1">
      <alignment horizontal="center" vertical="center"/>
    </xf>
    <xf numFmtId="0" fontId="13" fillId="0" borderId="0" xfId="0" applyFont="1" applyFill="1" applyBorder="1" applyAlignment="1">
      <alignment horizontal="right"/>
    </xf>
    <xf numFmtId="43" fontId="8" fillId="0" borderId="0" xfId="2" applyFont="1" applyFill="1" applyBorder="1"/>
    <xf numFmtId="43" fontId="13" fillId="0" borderId="0" xfId="2" applyFont="1" applyFill="1" applyBorder="1" applyAlignment="1">
      <alignment horizontal="right"/>
    </xf>
    <xf numFmtId="43" fontId="8" fillId="0" borderId="0" xfId="2" applyFont="1" applyFill="1"/>
    <xf numFmtId="43" fontId="15" fillId="10" borderId="0" xfId="2" applyFont="1" applyFill="1" applyBorder="1" applyAlignment="1">
      <alignment horizontal="right"/>
    </xf>
    <xf numFmtId="43" fontId="8" fillId="0" borderId="0" xfId="2" applyFont="1" applyFill="1" applyBorder="1" applyAlignment="1">
      <alignment horizontal="right"/>
    </xf>
    <xf numFmtId="43" fontId="8" fillId="0" borderId="0" xfId="2" applyFont="1"/>
    <xf numFmtId="43" fontId="15" fillId="2" borderId="0" xfId="2" applyFont="1" applyFill="1"/>
    <xf numFmtId="43" fontId="8" fillId="0" borderId="9" xfId="2" applyFont="1" applyFill="1" applyBorder="1"/>
    <xf numFmtId="43" fontId="12" fillId="0" borderId="9" xfId="2" applyFont="1" applyFill="1" applyBorder="1" applyAlignment="1">
      <alignment horizontal="right"/>
    </xf>
    <xf numFmtId="43" fontId="8" fillId="0" borderId="9" xfId="2" applyFont="1" applyBorder="1"/>
    <xf numFmtId="43" fontId="8" fillId="10" borderId="9" xfId="2" applyFont="1" applyFill="1" applyBorder="1"/>
    <xf numFmtId="0" fontId="16" fillId="0" borderId="0" xfId="0" applyFont="1"/>
    <xf numFmtId="43" fontId="8" fillId="10" borderId="0" xfId="2" applyFont="1" applyFill="1"/>
    <xf numFmtId="175" fontId="12" fillId="10" borderId="0" xfId="2" applyNumberFormat="1" applyFont="1" applyFill="1"/>
    <xf numFmtId="0" fontId="3" fillId="12" borderId="0" xfId="0" applyFont="1" applyFill="1"/>
    <xf numFmtId="0" fontId="3" fillId="12" borderId="0" xfId="0" applyFont="1" applyFill="1" applyBorder="1"/>
    <xf numFmtId="0" fontId="17" fillId="12" borderId="0" xfId="0" applyFont="1" applyFill="1"/>
    <xf numFmtId="0" fontId="8" fillId="0" borderId="0" xfId="0" applyFont="1" applyFill="1" applyBorder="1"/>
    <xf numFmtId="0" fontId="18" fillId="0" borderId="0" xfId="0" applyFont="1"/>
    <xf numFmtId="0" fontId="8" fillId="12" borderId="0" xfId="0" applyFont="1" applyFill="1"/>
    <xf numFmtId="44" fontId="8" fillId="0" borderId="7" xfId="3" applyFont="1" applyBorder="1"/>
    <xf numFmtId="43" fontId="8" fillId="0" borderId="7" xfId="0" applyNumberFormat="1" applyFont="1" applyBorder="1"/>
    <xf numFmtId="0" fontId="12" fillId="13" borderId="0" xfId="0" applyFont="1" applyFill="1"/>
    <xf numFmtId="0" fontId="8" fillId="13" borderId="0" xfId="0" applyFont="1" applyFill="1"/>
    <xf numFmtId="44" fontId="0" fillId="0" borderId="0" xfId="3" applyFont="1"/>
    <xf numFmtId="170" fontId="0" fillId="0" borderId="0" xfId="0" applyNumberFormat="1"/>
    <xf numFmtId="0" fontId="0" fillId="0" borderId="0" xfId="0" applyBorder="1"/>
    <xf numFmtId="170" fontId="0" fillId="0" borderId="0" xfId="2" applyNumberFormat="1" applyFont="1" applyBorder="1" applyAlignment="1">
      <alignment horizontal="center"/>
    </xf>
    <xf numFmtId="44" fontId="0" fillId="0" borderId="10" xfId="3" applyFont="1" applyBorder="1"/>
    <xf numFmtId="0" fontId="0" fillId="0" borderId="11" xfId="0" applyBorder="1"/>
    <xf numFmtId="0" fontId="0" fillId="0" borderId="12" xfId="0" applyBorder="1"/>
    <xf numFmtId="44" fontId="0" fillId="0" borderId="13" xfId="0" applyNumberFormat="1" applyBorder="1"/>
    <xf numFmtId="0" fontId="0" fillId="0" borderId="8" xfId="0" applyBorder="1"/>
    <xf numFmtId="0" fontId="0" fillId="0" borderId="14" xfId="0" applyBorder="1"/>
    <xf numFmtId="0" fontId="21" fillId="0" borderId="0" xfId="2" applyNumberFormat="1" applyFont="1" applyBorder="1" applyAlignment="1">
      <alignment horizontal="left"/>
    </xf>
    <xf numFmtId="0" fontId="0" fillId="0" borderId="0" xfId="0" applyFill="1"/>
    <xf numFmtId="0" fontId="0" fillId="0" borderId="0" xfId="0" applyFill="1" applyAlignment="1">
      <alignment horizontal="center"/>
    </xf>
    <xf numFmtId="0" fontId="8" fillId="0" borderId="0" xfId="0" applyFont="1" applyBorder="1"/>
    <xf numFmtId="44" fontId="8" fillId="0" borderId="0" xfId="3" applyFont="1" applyBorder="1"/>
    <xf numFmtId="43" fontId="8" fillId="0" borderId="0" xfId="0" applyNumberFormat="1" applyFont="1" applyBorder="1"/>
    <xf numFmtId="44" fontId="8" fillId="0" borderId="0" xfId="3" applyFont="1"/>
    <xf numFmtId="44" fontId="8" fillId="0" borderId="7" xfId="0" applyNumberFormat="1" applyFont="1" applyBorder="1"/>
    <xf numFmtId="168" fontId="6" fillId="0" borderId="7" xfId="4" applyNumberFormat="1" applyFont="1" applyBorder="1" applyAlignment="1" applyProtection="1">
      <alignment horizontal="center"/>
      <protection hidden="1"/>
    </xf>
    <xf numFmtId="0" fontId="6" fillId="0" borderId="7" xfId="4" applyFont="1" applyBorder="1" applyProtection="1">
      <protection locked="0"/>
    </xf>
    <xf numFmtId="176" fontId="23" fillId="0" borderId="7" xfId="0" applyNumberFormat="1" applyFont="1" applyBorder="1" applyAlignment="1">
      <alignment horizontal="center"/>
    </xf>
    <xf numFmtId="44" fontId="8" fillId="0" borderId="0" xfId="3" applyFont="1" applyFill="1" applyBorder="1"/>
    <xf numFmtId="0" fontId="2" fillId="0" borderId="7" xfId="0" applyFont="1" applyBorder="1"/>
    <xf numFmtId="0" fontId="2" fillId="0" borderId="7" xfId="0" applyFont="1" applyBorder="1" applyAlignment="1">
      <alignment wrapText="1"/>
    </xf>
    <xf numFmtId="0" fontId="0" fillId="8" borderId="7" xfId="0" applyFill="1" applyBorder="1" applyAlignment="1">
      <alignment vertical="center"/>
    </xf>
    <xf numFmtId="0" fontId="0" fillId="0" borderId="7" xfId="0" applyBorder="1" applyAlignment="1">
      <alignment wrapText="1"/>
    </xf>
    <xf numFmtId="0" fontId="2" fillId="2" borderId="7" xfId="0" applyFont="1" applyFill="1" applyBorder="1" applyAlignment="1">
      <alignment wrapText="1"/>
    </xf>
    <xf numFmtId="44" fontId="22" fillId="2" borderId="7" xfId="0" applyNumberFormat="1" applyFont="1" applyFill="1" applyBorder="1" applyAlignment="1">
      <alignment horizontal="center" vertical="center"/>
    </xf>
    <xf numFmtId="0" fontId="2" fillId="0" borderId="0" xfId="0" applyFont="1" applyBorder="1" applyAlignment="1">
      <alignment wrapText="1"/>
    </xf>
    <xf numFmtId="44" fontId="22" fillId="0" borderId="0" xfId="0" applyNumberFormat="1" applyFont="1" applyFill="1" applyBorder="1" applyAlignment="1">
      <alignment horizontal="center" vertical="center"/>
    </xf>
    <xf numFmtId="177" fontId="22" fillId="13" borderId="7" xfId="0" applyNumberFormat="1" applyFont="1" applyFill="1" applyBorder="1" applyAlignment="1">
      <alignment horizontal="center" vertical="center"/>
    </xf>
    <xf numFmtId="177" fontId="22" fillId="0" borderId="7" xfId="0" applyNumberFormat="1" applyFont="1" applyBorder="1" applyAlignment="1">
      <alignment horizontal="center" vertical="center"/>
    </xf>
    <xf numFmtId="177" fontId="22" fillId="0" borderId="7" xfId="0" applyNumberFormat="1" applyFont="1" applyFill="1" applyBorder="1" applyAlignment="1">
      <alignment horizontal="center" vertical="center"/>
    </xf>
    <xf numFmtId="177" fontId="22" fillId="2" borderId="7" xfId="0" applyNumberFormat="1" applyFont="1" applyFill="1" applyBorder="1" applyAlignment="1">
      <alignment horizontal="center" vertical="center"/>
    </xf>
    <xf numFmtId="0" fontId="0" fillId="0" borderId="0" xfId="2" applyNumberFormat="1" applyFont="1" applyBorder="1" applyAlignment="1">
      <alignment horizontal="center"/>
    </xf>
    <xf numFmtId="0" fontId="9" fillId="0" borderId="7" xfId="0" applyFont="1" applyFill="1" applyBorder="1" applyAlignment="1">
      <alignment wrapText="1"/>
    </xf>
    <xf numFmtId="0" fontId="18" fillId="12" borderId="0" xfId="0" applyFont="1" applyFill="1"/>
    <xf numFmtId="0" fontId="22" fillId="14" borderId="15" xfId="0" applyFont="1" applyFill="1" applyBorder="1" applyAlignment="1">
      <alignment horizontal="left" vertical="center" wrapText="1"/>
    </xf>
    <xf numFmtId="0" fontId="11" fillId="7" borderId="2" xfId="0" applyFont="1" applyFill="1" applyBorder="1" applyAlignment="1">
      <alignment horizontal="center" vertical="center"/>
    </xf>
    <xf numFmtId="0" fontId="11" fillId="7" borderId="4" xfId="0" applyFont="1" applyFill="1" applyBorder="1" applyAlignment="1">
      <alignment horizontal="center" vertical="center"/>
    </xf>
    <xf numFmtId="0" fontId="11" fillId="8" borderId="0" xfId="0" applyFont="1" applyFill="1" applyAlignment="1">
      <alignment horizontal="center" vertical="center" wrapText="1"/>
    </xf>
    <xf numFmtId="0" fontId="2" fillId="0" borderId="0" xfId="0" applyFont="1" applyFill="1" applyAlignment="1">
      <alignment horizontal="center"/>
    </xf>
    <xf numFmtId="2" fontId="7" fillId="6" borderId="2" xfId="4" applyNumberFormat="1" applyFont="1" applyFill="1" applyBorder="1" applyAlignment="1" applyProtection="1">
      <alignment horizontal="center" vertical="center" wrapText="1"/>
      <protection hidden="1"/>
    </xf>
    <xf numFmtId="2" fontId="7" fillId="6" borderId="3" xfId="4" applyNumberFormat="1" applyFont="1" applyFill="1" applyBorder="1" applyAlignment="1" applyProtection="1">
      <alignment horizontal="center" vertical="center" wrapText="1"/>
      <protection hidden="1"/>
    </xf>
    <xf numFmtId="2" fontId="7" fillId="6" borderId="4" xfId="4" applyNumberFormat="1" applyFont="1" applyFill="1" applyBorder="1" applyAlignment="1" applyProtection="1">
      <alignment horizontal="center" vertical="center" wrapText="1"/>
      <protection hidden="1"/>
    </xf>
    <xf numFmtId="168" fontId="7" fillId="6" borderId="2" xfId="4" applyNumberFormat="1" applyFont="1" applyFill="1" applyBorder="1" applyAlignment="1" applyProtection="1">
      <alignment horizontal="left" vertical="center" wrapText="1"/>
      <protection hidden="1"/>
    </xf>
    <xf numFmtId="168" fontId="7" fillId="6" borderId="3" xfId="4" applyNumberFormat="1" applyFont="1" applyFill="1" applyBorder="1" applyAlignment="1" applyProtection="1">
      <alignment horizontal="left" vertical="center" wrapText="1"/>
      <protection hidden="1"/>
    </xf>
    <xf numFmtId="168" fontId="7" fillId="6" borderId="4" xfId="4" applyNumberFormat="1" applyFont="1" applyFill="1" applyBorder="1" applyAlignment="1" applyProtection="1">
      <alignment horizontal="left" vertical="center" wrapText="1"/>
      <protection hidden="1"/>
    </xf>
    <xf numFmtId="0" fontId="7" fillId="6" borderId="2" xfId="4" applyFont="1" applyFill="1" applyBorder="1" applyAlignment="1" applyProtection="1">
      <alignment horizontal="left" vertical="center" wrapText="1"/>
      <protection hidden="1"/>
    </xf>
    <xf numFmtId="0" fontId="7" fillId="6" borderId="3" xfId="4" applyFont="1" applyFill="1" applyBorder="1" applyAlignment="1" applyProtection="1">
      <alignment horizontal="left" vertical="center" wrapText="1"/>
      <protection hidden="1"/>
    </xf>
    <xf numFmtId="0" fontId="7" fillId="6" borderId="4" xfId="4" applyFont="1" applyFill="1" applyBorder="1" applyAlignment="1" applyProtection="1">
      <alignment horizontal="left" vertical="center" wrapText="1"/>
      <protection hidden="1"/>
    </xf>
  </cellXfs>
  <cellStyles count="7">
    <cellStyle name="Comma" xfId="2" builtinId="3"/>
    <cellStyle name="Comma 2" xfId="5"/>
    <cellStyle name="Currency" xfId="3" builtinId="4"/>
    <cellStyle name="Currency 2" xfId="6"/>
    <cellStyle name="Normal" xfId="0" builtinId="0"/>
    <cellStyle name="Normal_Template WILKS Tariff Model" xfId="4"/>
    <cellStyle name="Percent" xfId="1" builtinId="5"/>
  </cellStyles>
  <dxfs count="8">
    <dxf>
      <font>
        <color rgb="FF006100"/>
      </font>
      <fill>
        <patternFill>
          <bgColor rgb="FFC6EFCE"/>
        </patternFill>
      </fill>
    </dxf>
    <dxf>
      <font>
        <color theme="0"/>
      </font>
    </dxf>
    <dxf>
      <font>
        <color theme="0"/>
      </font>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276225</xdr:colOff>
      <xdr:row>6</xdr:row>
      <xdr:rowOff>0</xdr:rowOff>
    </xdr:from>
    <xdr:to>
      <xdr:col>15</xdr:col>
      <xdr:colOff>421936</xdr:colOff>
      <xdr:row>23</xdr:row>
      <xdr:rowOff>33717</xdr:rowOff>
    </xdr:to>
    <xdr:pic>
      <xdr:nvPicPr>
        <xdr:cNvPr id="2" name="Picture 1">
          <a:extLst>
            <a:ext uri="{FF2B5EF4-FFF2-40B4-BE49-F238E27FC236}">
              <a16:creationId xmlns:a16="http://schemas.microsoft.com/office/drawing/2014/main" id="{A771016B-865D-4DD0-9E1D-D907B823822F}"/>
            </a:ext>
          </a:extLst>
        </xdr:cNvPr>
        <xdr:cNvPicPr>
          <a:picLocks noChangeAspect="1"/>
        </xdr:cNvPicPr>
      </xdr:nvPicPr>
      <xdr:blipFill>
        <a:blip xmlns:r="http://schemas.openxmlformats.org/officeDocument/2006/relationships" r:embed="rId1" cstate="print"/>
        <a:stretch>
          <a:fillRect/>
        </a:stretch>
      </xdr:blipFill>
      <xdr:spPr>
        <a:xfrm>
          <a:off x="10734675" y="1209675"/>
          <a:ext cx="3012736" cy="311981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28"/>
  <sheetViews>
    <sheetView tabSelected="1" zoomScale="70" zoomScaleNormal="70" workbookViewId="0">
      <selection activeCell="C3" sqref="C3"/>
    </sheetView>
  </sheetViews>
  <sheetFormatPr defaultRowHeight="15" x14ac:dyDescent="0.25"/>
  <cols>
    <col min="2" max="2" width="12.42578125" bestFit="1" customWidth="1"/>
    <col min="3" max="3" width="78" bestFit="1" customWidth="1"/>
    <col min="4" max="4" width="27.85546875" bestFit="1" customWidth="1"/>
    <col min="5" max="5" width="25" bestFit="1" customWidth="1"/>
    <col min="6" max="7" width="23.140625" bestFit="1" customWidth="1"/>
    <col min="8" max="9" width="22.7109375" bestFit="1" customWidth="1"/>
    <col min="10" max="10" width="22.140625" customWidth="1"/>
  </cols>
  <sheetData>
    <row r="2" spans="2:10" ht="45" customHeight="1" x14ac:dyDescent="0.25">
      <c r="B2" s="138" t="s">
        <v>154</v>
      </c>
      <c r="C2" s="138"/>
      <c r="D2" s="138"/>
      <c r="E2" s="138"/>
      <c r="F2" s="138"/>
      <c r="G2" s="138"/>
      <c r="H2" s="138"/>
      <c r="I2" s="138"/>
      <c r="J2" s="138"/>
    </row>
    <row r="3" spans="2:10" ht="79.5" customHeight="1" x14ac:dyDescent="0.25">
      <c r="B3" s="123" t="s">
        <v>41</v>
      </c>
      <c r="C3" s="124" t="s">
        <v>158</v>
      </c>
      <c r="D3" s="124" t="s">
        <v>119</v>
      </c>
      <c r="E3" s="124" t="s">
        <v>120</v>
      </c>
      <c r="F3" s="124" t="s">
        <v>125</v>
      </c>
      <c r="G3" s="124" t="s">
        <v>126</v>
      </c>
      <c r="H3" s="124" t="s">
        <v>127</v>
      </c>
      <c r="I3" s="124" t="s">
        <v>128</v>
      </c>
      <c r="J3" s="127" t="s">
        <v>140</v>
      </c>
    </row>
    <row r="4" spans="2:10" ht="156" customHeight="1" x14ac:dyDescent="0.25">
      <c r="B4" s="125" t="s">
        <v>111</v>
      </c>
      <c r="C4" s="136" t="s">
        <v>147</v>
      </c>
      <c r="D4" s="131">
        <f>ROUND('Scenario 1'!E29/10^6,2)</f>
        <v>33.869999999999997</v>
      </c>
      <c r="E4" s="132">
        <f>'Scenario 1'!E30/10^6</f>
        <v>24.193305510087889</v>
      </c>
      <c r="F4" s="131">
        <f>SUM('Scenario 1'!E38:G38)/10^6</f>
        <v>10.91923384076</v>
      </c>
      <c r="G4" s="132">
        <f>F4</f>
        <v>10.91923384076</v>
      </c>
      <c r="H4" s="131">
        <f>IFERROR(D4+F4,F4)</f>
        <v>44.789233840759998</v>
      </c>
      <c r="I4" s="133">
        <f>IFERROR(E4+G4,G4)</f>
        <v>35.112539350847889</v>
      </c>
      <c r="J4" s="134">
        <f>H4-I4</f>
        <v>9.6766944899121086</v>
      </c>
    </row>
    <row r="5" spans="2:10" ht="61.5" customHeight="1" x14ac:dyDescent="0.25">
      <c r="B5" s="125" t="s">
        <v>115</v>
      </c>
      <c r="C5" s="126" t="s">
        <v>117</v>
      </c>
      <c r="D5" s="131">
        <f>'Scenario 1'!K29/10^6</f>
        <v>44.469095467119971</v>
      </c>
      <c r="E5" s="132">
        <f>'Scenario 1'!K30/10^6</f>
        <v>31.763639619371407</v>
      </c>
      <c r="F5" s="131">
        <f>SUM('Scenario 1'!E39:G39)/10^6</f>
        <v>14.335974408</v>
      </c>
      <c r="G5" s="132">
        <f>F5</f>
        <v>14.335974408</v>
      </c>
      <c r="H5" s="131">
        <f t="shared" ref="H5" si="0">IFERROR(D5+F5,F5)</f>
        <v>58.805069875119969</v>
      </c>
      <c r="I5" s="133">
        <f t="shared" ref="I5:I7" si="1">IFERROR(E5+G5,G5)</f>
        <v>46.099614027371409</v>
      </c>
      <c r="J5" s="134">
        <f t="shared" ref="J5:J7" si="2">H5-I5</f>
        <v>12.70545584774856</v>
      </c>
    </row>
    <row r="6" spans="2:10" ht="60" customHeight="1" x14ac:dyDescent="0.25">
      <c r="B6" s="125" t="s">
        <v>46</v>
      </c>
      <c r="C6" s="126" t="s">
        <v>129</v>
      </c>
      <c r="D6" s="131" t="s">
        <v>118</v>
      </c>
      <c r="E6" s="132" t="s">
        <v>118</v>
      </c>
      <c r="F6" s="131">
        <f>SUM('Scenario 2'!G21:I21)/10^6</f>
        <v>20.653611732000002</v>
      </c>
      <c r="G6" s="132">
        <f>SUM('Scenario 2'!D21:F21)/10^6</f>
        <v>19.455711779999998</v>
      </c>
      <c r="H6" s="131">
        <f>IFERROR(D6+F6,F6)</f>
        <v>20.653611732000002</v>
      </c>
      <c r="I6" s="133">
        <f t="shared" si="1"/>
        <v>19.455711779999998</v>
      </c>
      <c r="J6" s="134">
        <f>H6-I6</f>
        <v>1.1978999520000038</v>
      </c>
    </row>
    <row r="7" spans="2:10" ht="60" x14ac:dyDescent="0.25">
      <c r="B7" s="125" t="s">
        <v>116</v>
      </c>
      <c r="C7" s="126" t="s">
        <v>130</v>
      </c>
      <c r="D7" s="131" t="s">
        <v>118</v>
      </c>
      <c r="E7" s="132" t="s">
        <v>118</v>
      </c>
      <c r="F7" s="131">
        <f>SUM('Scenario 3'!G20:I20)/10^6</f>
        <v>76.633705623619562</v>
      </c>
      <c r="G7" s="132">
        <f>SUM('Scenario 3'!D20:F20)/10^6</f>
        <v>63.350429851731491</v>
      </c>
      <c r="H7" s="131">
        <f>IFERROR(D7+F7,F7)</f>
        <v>76.633705623619562</v>
      </c>
      <c r="I7" s="133">
        <f t="shared" si="1"/>
        <v>63.350429851731491</v>
      </c>
      <c r="J7" s="134">
        <f t="shared" si="2"/>
        <v>13.283275771888071</v>
      </c>
    </row>
    <row r="10" spans="2:10" ht="79.5" customHeight="1" x14ac:dyDescent="0.25">
      <c r="B10" s="123" t="s">
        <v>41</v>
      </c>
      <c r="C10" s="124" t="s">
        <v>155</v>
      </c>
      <c r="D10" s="124" t="s">
        <v>131</v>
      </c>
      <c r="E10" s="124" t="s">
        <v>132</v>
      </c>
      <c r="F10" s="127" t="s">
        <v>140</v>
      </c>
      <c r="G10" s="129"/>
    </row>
    <row r="11" spans="2:10" ht="150" x14ac:dyDescent="0.25">
      <c r="B11" s="125" t="s">
        <v>111</v>
      </c>
      <c r="C11" s="136" t="s">
        <v>147</v>
      </c>
      <c r="D11" s="131">
        <f>'Scenario 1'!G48/10^6</f>
        <v>-875.23701719999997</v>
      </c>
      <c r="E11" s="132">
        <f>D11</f>
        <v>-875.23701719999997</v>
      </c>
      <c r="F11" s="128">
        <f>D11-E11</f>
        <v>0</v>
      </c>
      <c r="G11" s="130"/>
    </row>
    <row r="12" spans="2:10" ht="45" x14ac:dyDescent="0.25">
      <c r="B12" s="125" t="s">
        <v>115</v>
      </c>
      <c r="C12" s="126" t="s">
        <v>117</v>
      </c>
      <c r="D12" s="131">
        <f>D11</f>
        <v>-875.23701719999997</v>
      </c>
      <c r="E12" s="132">
        <f>E11</f>
        <v>-875.23701719999997</v>
      </c>
      <c r="F12" s="128">
        <f t="shared" ref="F12:F14" si="3">D12-E12</f>
        <v>0</v>
      </c>
      <c r="G12" s="130"/>
    </row>
    <row r="13" spans="2:10" ht="60" x14ac:dyDescent="0.25">
      <c r="B13" s="125" t="s">
        <v>46</v>
      </c>
      <c r="C13" s="126" t="s">
        <v>129</v>
      </c>
      <c r="D13" s="131">
        <f>'Scenario 2'!F12/10^6</f>
        <v>-861.81073729999991</v>
      </c>
      <c r="E13" s="132">
        <f>'Scenario 2'!C12/10^6</f>
        <v>-853.06391589999998</v>
      </c>
      <c r="F13" s="134">
        <f t="shared" si="3"/>
        <v>-8.7468213999999307</v>
      </c>
      <c r="G13" s="130"/>
    </row>
    <row r="14" spans="2:10" ht="60" x14ac:dyDescent="0.25">
      <c r="B14" s="125" t="s">
        <v>116</v>
      </c>
      <c r="C14" s="126" t="s">
        <v>130</v>
      </c>
      <c r="D14" s="131">
        <f>'Scenario 3'!F13/10^6</f>
        <v>-808.54598177609819</v>
      </c>
      <c r="E14" s="132">
        <f>'Scenario 3'!C13/10^6</f>
        <v>-807.86667331651211</v>
      </c>
      <c r="F14" s="134">
        <f t="shared" si="3"/>
        <v>-0.67930845958608188</v>
      </c>
      <c r="G14" s="130"/>
    </row>
    <row r="17" spans="2:6" ht="79.5" customHeight="1" x14ac:dyDescent="0.25">
      <c r="B17" s="123" t="s">
        <v>41</v>
      </c>
      <c r="C17" s="124" t="s">
        <v>156</v>
      </c>
      <c r="D17" s="124" t="s">
        <v>133</v>
      </c>
      <c r="E17" s="124" t="s">
        <v>134</v>
      </c>
      <c r="F17" s="127" t="s">
        <v>140</v>
      </c>
    </row>
    <row r="18" spans="2:6" ht="150" x14ac:dyDescent="0.25">
      <c r="B18" s="125" t="s">
        <v>111</v>
      </c>
      <c r="C18" s="136" t="s">
        <v>147</v>
      </c>
      <c r="D18" s="131">
        <f>SUM('Scenario 1'!E45:G45)/10^6</f>
        <v>97.365159520999981</v>
      </c>
      <c r="E18" s="132">
        <f>D18</f>
        <v>97.365159520999981</v>
      </c>
      <c r="F18" s="134">
        <f t="shared" ref="F18:F21" si="4">ABS(D18-E18)</f>
        <v>0</v>
      </c>
    </row>
    <row r="19" spans="2:6" ht="45" x14ac:dyDescent="0.25">
      <c r="B19" s="125" t="s">
        <v>115</v>
      </c>
      <c r="C19" s="126" t="s">
        <v>117</v>
      </c>
      <c r="D19" s="131">
        <f>SUM('Scenario 1'!E46:G46)/10^6</f>
        <v>97.365159520999981</v>
      </c>
      <c r="E19" s="132">
        <f>D19</f>
        <v>97.365159520999981</v>
      </c>
      <c r="F19" s="134">
        <f t="shared" si="4"/>
        <v>0</v>
      </c>
    </row>
    <row r="20" spans="2:6" ht="60" x14ac:dyDescent="0.25">
      <c r="B20" s="125" t="s">
        <v>46</v>
      </c>
      <c r="C20" s="126" t="s">
        <v>129</v>
      </c>
      <c r="D20" s="131">
        <f>SUM('Scenario 2'!G19:I20)/10^6</f>
        <v>129.56018770050002</v>
      </c>
      <c r="E20" s="132">
        <f>SUM('Scenario 2'!D19:F20)/10^6</f>
        <v>121.92856963250004</v>
      </c>
      <c r="F20" s="134">
        <f t="shared" si="4"/>
        <v>7.6316180679999803</v>
      </c>
    </row>
    <row r="21" spans="2:6" ht="60" x14ac:dyDescent="0.25">
      <c r="B21" s="125" t="s">
        <v>116</v>
      </c>
      <c r="C21" s="126" t="s">
        <v>130</v>
      </c>
      <c r="D21" s="131">
        <f>(('Scenario 1'!E46+'Scenario 1'!F46+'Scenario 1'!G46)-(600*10^3*'Scenario 1'!E44+600*10^3*'Scenario 1'!F44+600*10^3*'Scenario 1'!G44))/10^6</f>
        <v>75.801193120999997</v>
      </c>
      <c r="E21" s="132">
        <f>D21</f>
        <v>75.801193120999997</v>
      </c>
      <c r="F21" s="134">
        <f t="shared" si="4"/>
        <v>0</v>
      </c>
    </row>
    <row r="24" spans="2:6" ht="79.5" customHeight="1" x14ac:dyDescent="0.25">
      <c r="B24" s="123" t="s">
        <v>41</v>
      </c>
      <c r="C24" s="124" t="s">
        <v>157</v>
      </c>
      <c r="D24" s="124" t="s">
        <v>135</v>
      </c>
      <c r="E24" s="124" t="s">
        <v>136</v>
      </c>
      <c r="F24" s="127" t="s">
        <v>140</v>
      </c>
    </row>
    <row r="25" spans="2:6" ht="150" x14ac:dyDescent="0.25">
      <c r="B25" s="125" t="s">
        <v>111</v>
      </c>
      <c r="C25" s="136" t="s">
        <v>147</v>
      </c>
      <c r="D25" s="131">
        <f>(assumptions!B35)+('Scenario 1'!E28/10^3*143)</f>
        <v>2607.5703341092835</v>
      </c>
      <c r="E25" s="132">
        <f>(D25-'Scenario 1'!E32/10^6-1120000/10^6)</f>
        <v>2603.4222004655703</v>
      </c>
      <c r="F25" s="134">
        <f>D25-E25</f>
        <v>4.1481336437132086</v>
      </c>
    </row>
    <row r="26" spans="2:6" ht="45" x14ac:dyDescent="0.25">
      <c r="B26" s="125" t="s">
        <v>115</v>
      </c>
      <c r="C26" s="126" t="s">
        <v>117</v>
      </c>
      <c r="D26" s="131">
        <f>assumptions!B35</f>
        <v>2600</v>
      </c>
      <c r="E26" s="132">
        <f>D26-1120000/10^6</f>
        <v>2598.88</v>
      </c>
      <c r="F26" s="134">
        <f t="shared" ref="F26:F28" si="5">D26-E26</f>
        <v>1.1199999999998909</v>
      </c>
    </row>
    <row r="27" spans="2:6" ht="60" x14ac:dyDescent="0.25">
      <c r="B27" s="125" t="s">
        <v>46</v>
      </c>
      <c r="C27" s="126" t="s">
        <v>129</v>
      </c>
      <c r="D27" s="131">
        <f>D26</f>
        <v>2600</v>
      </c>
      <c r="E27" s="132">
        <f>D27-1120000/10^6-2800000/10^6</f>
        <v>2596.08</v>
      </c>
      <c r="F27" s="134">
        <f t="shared" si="5"/>
        <v>3.9200000000000728</v>
      </c>
    </row>
    <row r="28" spans="2:6" ht="60" x14ac:dyDescent="0.25">
      <c r="B28" s="125" t="s">
        <v>116</v>
      </c>
      <c r="C28" s="126" t="s">
        <v>130</v>
      </c>
      <c r="D28" s="131">
        <f>D26</f>
        <v>2600</v>
      </c>
      <c r="E28" s="132">
        <f>D28-1120000/10^6-2800000/10^6</f>
        <v>2596.08</v>
      </c>
      <c r="F28" s="134">
        <f t="shared" si="5"/>
        <v>3.9200000000000728</v>
      </c>
    </row>
  </sheetData>
  <mergeCells count="1">
    <mergeCell ref="B2:J2"/>
  </mergeCells>
  <conditionalFormatting sqref="F11:F14">
    <cfRule type="cellIs" dxfId="7" priority="5" operator="lessThan">
      <formula>0</formula>
    </cfRule>
  </conditionalFormatting>
  <conditionalFormatting sqref="F18:F21">
    <cfRule type="cellIs" dxfId="6" priority="4" operator="lessThan">
      <formula>0</formula>
    </cfRule>
  </conditionalFormatting>
  <conditionalFormatting sqref="J4:J7">
    <cfRule type="cellIs" dxfId="5" priority="3" operator="lessThan">
      <formula>0</formula>
    </cfRule>
  </conditionalFormatting>
  <conditionalFormatting sqref="F25:F28">
    <cfRule type="cellIs" dxfId="3" priority="1" operator="lessThan">
      <formula>0</formula>
    </cfRule>
  </conditionalFormatting>
  <pageMargins left="0.7" right="0.7" top="0.75" bottom="0.75" header="0.3" footer="0.3"/>
  <pageSetup orientation="portrait" horizontalDpi="90" verticalDpi="9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P48"/>
  <sheetViews>
    <sheetView zoomScale="75" zoomScaleNormal="75" workbookViewId="0">
      <selection activeCell="Q25" sqref="Q25"/>
    </sheetView>
  </sheetViews>
  <sheetFormatPr defaultColWidth="9.140625" defaultRowHeight="12.75" x14ac:dyDescent="0.2"/>
  <cols>
    <col min="1" max="1" width="9.140625" style="29"/>
    <col min="2" max="2" width="38.5703125" style="29" customWidth="1"/>
    <col min="3" max="3" width="12.140625" style="94" customWidth="1"/>
    <col min="4" max="4" width="16" style="94" customWidth="1"/>
    <col min="5" max="5" width="14.5703125" style="29" bestFit="1" customWidth="1"/>
    <col min="6" max="6" width="16.140625" style="29" customWidth="1"/>
    <col min="7" max="7" width="16.5703125" style="29" customWidth="1"/>
    <col min="8" max="8" width="14.5703125" style="29" bestFit="1" customWidth="1"/>
    <col min="9" max="9" width="13.5703125" style="29" bestFit="1" customWidth="1"/>
    <col min="10" max="10" width="15.42578125" style="29" bestFit="1" customWidth="1"/>
    <col min="11" max="11" width="14.5703125" style="29" bestFit="1" customWidth="1"/>
    <col min="12" max="13" width="9.140625" style="29"/>
    <col min="14" max="14" width="15.5703125" style="29" bestFit="1" customWidth="1"/>
    <col min="15" max="16384" width="9.140625" style="29"/>
  </cols>
  <sheetData>
    <row r="1" spans="1:16" s="91" customFormat="1" ht="23.25" x14ac:dyDescent="0.35">
      <c r="A1" s="137" t="s">
        <v>84</v>
      </c>
      <c r="D1" s="92"/>
    </row>
    <row r="2" spans="1:16" s="91" customFormat="1" ht="21" x14ac:dyDescent="0.35">
      <c r="B2" s="93" t="s">
        <v>80</v>
      </c>
      <c r="D2" s="92"/>
    </row>
    <row r="3" spans="1:16" s="91" customFormat="1" ht="15" x14ac:dyDescent="0.25">
      <c r="A3" s="91" t="s">
        <v>85</v>
      </c>
      <c r="D3" s="92"/>
    </row>
    <row r="4" spans="1:16" s="33" customFormat="1" ht="15.75" thickBot="1" x14ac:dyDescent="0.3">
      <c r="B4" s="29" t="s">
        <v>50</v>
      </c>
      <c r="C4" s="30">
        <v>14.08310011</v>
      </c>
      <c r="D4" s="29"/>
      <c r="E4" s="31"/>
      <c r="F4" s="32" t="s">
        <v>51</v>
      </c>
      <c r="H4" s="34">
        <v>0.03</v>
      </c>
      <c r="J4" s="32" t="s">
        <v>52</v>
      </c>
      <c r="L4" s="35">
        <v>2019</v>
      </c>
      <c r="M4" s="32"/>
      <c r="N4" s="32" t="s">
        <v>81</v>
      </c>
      <c r="O4" s="32"/>
      <c r="P4" s="35">
        <v>2024</v>
      </c>
    </row>
    <row r="5" spans="1:16" x14ac:dyDescent="0.2">
      <c r="B5" s="36" t="s">
        <v>53</v>
      </c>
      <c r="C5" s="37"/>
      <c r="D5" s="139" t="s">
        <v>54</v>
      </c>
      <c r="E5" s="141" t="s">
        <v>55</v>
      </c>
      <c r="F5" s="141"/>
      <c r="G5" s="141"/>
      <c r="H5" s="141"/>
      <c r="I5" s="141"/>
      <c r="J5" s="141"/>
      <c r="K5" s="141"/>
    </row>
    <row r="6" spans="1:16" ht="15.75" customHeight="1" thickBot="1" x14ac:dyDescent="0.25">
      <c r="C6" s="37"/>
      <c r="D6" s="140"/>
      <c r="E6" s="38" t="s">
        <v>56</v>
      </c>
      <c r="F6" s="39" t="s">
        <v>57</v>
      </c>
      <c r="G6" s="39" t="s">
        <v>58</v>
      </c>
      <c r="H6" s="40" t="s">
        <v>59</v>
      </c>
      <c r="I6" s="39" t="s">
        <v>60</v>
      </c>
      <c r="J6" s="39" t="s">
        <v>61</v>
      </c>
      <c r="K6" s="39" t="s">
        <v>62</v>
      </c>
    </row>
    <row r="7" spans="1:16" ht="38.25" x14ac:dyDescent="0.2">
      <c r="B7" s="41" t="s">
        <v>63</v>
      </c>
      <c r="C7" s="42">
        <v>504</v>
      </c>
      <c r="D7" s="43"/>
      <c r="E7" s="44"/>
      <c r="F7" s="45"/>
      <c r="G7" s="44"/>
      <c r="H7" s="46"/>
      <c r="I7" s="47"/>
      <c r="J7" s="45"/>
      <c r="K7" s="45"/>
    </row>
    <row r="8" spans="1:16" x14ac:dyDescent="0.2">
      <c r="B8" s="48" t="s">
        <v>64</v>
      </c>
      <c r="C8" s="49"/>
      <c r="D8" s="50"/>
      <c r="E8" s="51">
        <v>600</v>
      </c>
      <c r="F8" s="51">
        <v>600</v>
      </c>
      <c r="G8" s="51">
        <v>600</v>
      </c>
      <c r="H8" s="52">
        <v>600</v>
      </c>
      <c r="I8" s="51">
        <v>600</v>
      </c>
      <c r="J8" s="51">
        <v>600</v>
      </c>
      <c r="K8" s="51">
        <v>600</v>
      </c>
    </row>
    <row r="9" spans="1:16" x14ac:dyDescent="0.2">
      <c r="B9" s="53" t="s">
        <v>65</v>
      </c>
      <c r="C9" s="51"/>
      <c r="D9" s="54"/>
      <c r="E9" s="55">
        <f>H9</f>
        <v>260</v>
      </c>
      <c r="F9" s="55">
        <f t="shared" ref="F9:G9" si="0">I9</f>
        <v>260</v>
      </c>
      <c r="G9" s="55">
        <f t="shared" si="0"/>
        <v>260</v>
      </c>
      <c r="H9" s="56">
        <v>260</v>
      </c>
      <c r="I9" s="55">
        <f>H9</f>
        <v>260</v>
      </c>
      <c r="J9" s="55">
        <f t="shared" ref="J9:K9" si="1">I9</f>
        <v>260</v>
      </c>
      <c r="K9" s="55">
        <f t="shared" si="1"/>
        <v>260</v>
      </c>
    </row>
    <row r="10" spans="1:16" x14ac:dyDescent="0.2">
      <c r="B10" s="53" t="s">
        <v>66</v>
      </c>
      <c r="C10" s="44"/>
      <c r="D10" s="43"/>
      <c r="E10" s="44">
        <v>1</v>
      </c>
      <c r="F10" s="44">
        <v>1</v>
      </c>
      <c r="G10" s="44">
        <v>1</v>
      </c>
      <c r="H10" s="46">
        <v>1</v>
      </c>
      <c r="I10" s="44">
        <v>1</v>
      </c>
      <c r="J10" s="44">
        <v>1</v>
      </c>
      <c r="K10" s="44">
        <v>1</v>
      </c>
    </row>
    <row r="11" spans="1:16" x14ac:dyDescent="0.2">
      <c r="B11" s="53" t="str">
        <f>CONCATENATE("Cable Unit Capital Cost (£/MWkm) in ",P4, " price base")</f>
        <v>Cable Unit Capital Cost (£/MWkm) in 2024 price base</v>
      </c>
      <c r="C11" s="51"/>
      <c r="D11" s="57"/>
      <c r="E11" s="58">
        <f>H11*1.2</f>
        <v>4494.4164111323071</v>
      </c>
      <c r="F11" s="58">
        <f>H11*1.1</f>
        <v>4119.881710204615</v>
      </c>
      <c r="G11" s="58">
        <f>H11*1.05</f>
        <v>3932.614359740769</v>
      </c>
      <c r="H11" s="52">
        <f>C7*1000000*(1+$H$4)^($P$4-$L$4)/(H8*H9)</f>
        <v>3745.3470092769226</v>
      </c>
      <c r="I11" s="58">
        <f>H11*0.95</f>
        <v>3558.0796588130761</v>
      </c>
      <c r="J11" s="58">
        <f>H11*0.9</f>
        <v>3370.8123083492305</v>
      </c>
      <c r="K11" s="58">
        <f>H11*0.8</f>
        <v>2996.2776074215381</v>
      </c>
    </row>
    <row r="12" spans="1:16" x14ac:dyDescent="0.2">
      <c r="B12" s="59" t="s">
        <v>67</v>
      </c>
      <c r="C12" s="51"/>
      <c r="D12" s="57"/>
      <c r="E12" s="51"/>
      <c r="F12" s="51"/>
      <c r="G12" s="51"/>
      <c r="H12" s="52"/>
      <c r="I12" s="51"/>
      <c r="J12" s="51"/>
      <c r="K12" s="51"/>
    </row>
    <row r="13" spans="1:16" x14ac:dyDescent="0.2">
      <c r="B13" s="53"/>
      <c r="C13" s="51"/>
      <c r="D13" s="57"/>
      <c r="E13" s="51"/>
      <c r="F13" s="51"/>
      <c r="G13" s="51"/>
      <c r="H13" s="52"/>
      <c r="I13" s="51"/>
      <c r="J13" s="51"/>
      <c r="K13" s="51"/>
    </row>
    <row r="14" spans="1:16" x14ac:dyDescent="0.2">
      <c r="B14" s="53"/>
      <c r="C14" s="51"/>
      <c r="D14" s="57"/>
      <c r="E14" s="51"/>
      <c r="F14" s="51"/>
      <c r="G14" s="51"/>
      <c r="H14" s="52"/>
      <c r="I14" s="51"/>
      <c r="J14" s="51"/>
      <c r="K14" s="51"/>
    </row>
    <row r="15" spans="1:16" x14ac:dyDescent="0.2">
      <c r="B15" s="53" t="s">
        <v>66</v>
      </c>
      <c r="C15" s="60">
        <v>1</v>
      </c>
      <c r="D15" s="57"/>
      <c r="E15" s="51">
        <f>H15</f>
        <v>1</v>
      </c>
      <c r="F15" s="51">
        <f>H15</f>
        <v>1</v>
      </c>
      <c r="G15" s="51">
        <f>H15</f>
        <v>1</v>
      </c>
      <c r="H15" s="52">
        <f>C15</f>
        <v>1</v>
      </c>
      <c r="I15" s="51">
        <f>H15</f>
        <v>1</v>
      </c>
      <c r="J15" s="51">
        <f>H15</f>
        <v>1</v>
      </c>
      <c r="K15" s="51">
        <f>H15</f>
        <v>1</v>
      </c>
    </row>
    <row r="16" spans="1:16" x14ac:dyDescent="0.2">
      <c r="B16" s="53" t="s">
        <v>68</v>
      </c>
      <c r="C16" s="61">
        <v>50</v>
      </c>
      <c r="D16" s="57"/>
      <c r="E16" s="57">
        <v>50</v>
      </c>
      <c r="F16" s="51">
        <f t="shared" ref="F16:K17" si="2">E16</f>
        <v>50</v>
      </c>
      <c r="G16" s="51">
        <f t="shared" si="2"/>
        <v>50</v>
      </c>
      <c r="H16" s="52">
        <f t="shared" si="2"/>
        <v>50</v>
      </c>
      <c r="I16" s="51">
        <f t="shared" si="2"/>
        <v>50</v>
      </c>
      <c r="J16" s="51">
        <f t="shared" si="2"/>
        <v>50</v>
      </c>
      <c r="K16" s="51">
        <f t="shared" si="2"/>
        <v>50</v>
      </c>
    </row>
    <row r="17" spans="1:14" x14ac:dyDescent="0.2">
      <c r="B17" s="53" t="s">
        <v>69</v>
      </c>
      <c r="C17" s="62">
        <v>5.3900000000000003E-2</v>
      </c>
      <c r="D17" s="63"/>
      <c r="E17" s="63">
        <v>5.3900000000000003E-2</v>
      </c>
      <c r="F17" s="64">
        <f t="shared" si="2"/>
        <v>5.3900000000000003E-2</v>
      </c>
      <c r="G17" s="64">
        <f t="shared" si="2"/>
        <v>5.3900000000000003E-2</v>
      </c>
      <c r="H17" s="65">
        <f t="shared" si="2"/>
        <v>5.3900000000000003E-2</v>
      </c>
      <c r="I17" s="64">
        <f t="shared" si="2"/>
        <v>5.3900000000000003E-2</v>
      </c>
      <c r="J17" s="64">
        <f t="shared" si="2"/>
        <v>5.3900000000000003E-2</v>
      </c>
      <c r="K17" s="64">
        <f t="shared" si="2"/>
        <v>5.3900000000000003E-2</v>
      </c>
    </row>
    <row r="18" spans="1:14" x14ac:dyDescent="0.2">
      <c r="B18" s="53" t="s">
        <v>70</v>
      </c>
      <c r="C18" s="66"/>
      <c r="D18" s="66"/>
      <c r="E18" s="66">
        <v>5.8109984888007338E-2</v>
      </c>
      <c r="F18" s="67">
        <f t="shared" ref="F18:K18" si="3">1/((1-(1+F17)^(-F16))/F17)</f>
        <v>5.8109984888007338E-2</v>
      </c>
      <c r="G18" s="67">
        <f t="shared" si="3"/>
        <v>5.8109984888007338E-2</v>
      </c>
      <c r="H18" s="65">
        <f t="shared" si="3"/>
        <v>5.8109984888007338E-2</v>
      </c>
      <c r="I18" s="67">
        <f t="shared" si="3"/>
        <v>5.8109984888007338E-2</v>
      </c>
      <c r="J18" s="67">
        <f t="shared" si="3"/>
        <v>5.8109984888007338E-2</v>
      </c>
      <c r="K18" s="67">
        <f t="shared" si="3"/>
        <v>5.8109984888007338E-2</v>
      </c>
    </row>
    <row r="19" spans="1:14" x14ac:dyDescent="0.2">
      <c r="B19" s="53" t="s">
        <v>71</v>
      </c>
      <c r="C19" s="68">
        <v>1.7999999999999999E-2</v>
      </c>
      <c r="D19" s="66"/>
      <c r="E19" s="66">
        <v>1.7999999999999999E-2</v>
      </c>
      <c r="F19" s="67">
        <f t="shared" ref="F19:K19" si="4">E19</f>
        <v>1.7999999999999999E-2</v>
      </c>
      <c r="G19" s="67">
        <f t="shared" si="4"/>
        <v>1.7999999999999999E-2</v>
      </c>
      <c r="H19" s="65">
        <f t="shared" si="4"/>
        <v>1.7999999999999999E-2</v>
      </c>
      <c r="I19" s="67">
        <f t="shared" si="4"/>
        <v>1.7999999999999999E-2</v>
      </c>
      <c r="J19" s="67">
        <f t="shared" si="4"/>
        <v>1.7999999999999999E-2</v>
      </c>
      <c r="K19" s="67">
        <f t="shared" si="4"/>
        <v>1.7999999999999999E-2</v>
      </c>
    </row>
    <row r="20" spans="1:14" x14ac:dyDescent="0.2">
      <c r="B20" s="53" t="s">
        <v>72</v>
      </c>
      <c r="C20" s="69"/>
      <c r="D20" s="70"/>
      <c r="E20" s="69">
        <f>E11*(E18+E19)</f>
        <v>342.06996513169207</v>
      </c>
      <c r="F20" s="69">
        <f t="shared" ref="F20:K20" si="5">F11*(F18+F19)</f>
        <v>313.56413470405107</v>
      </c>
      <c r="G20" s="69">
        <f t="shared" si="5"/>
        <v>299.3112194902306</v>
      </c>
      <c r="H20" s="71">
        <f>H11*(H18+H19)</f>
        <v>285.05830427641007</v>
      </c>
      <c r="I20" s="69">
        <f t="shared" si="5"/>
        <v>270.80538906258954</v>
      </c>
      <c r="J20" s="69">
        <f t="shared" si="5"/>
        <v>256.55247384876907</v>
      </c>
      <c r="K20" s="69">
        <f t="shared" si="5"/>
        <v>228.04664342112804</v>
      </c>
    </row>
    <row r="21" spans="1:14" ht="13.5" thickBot="1" x14ac:dyDescent="0.25">
      <c r="B21" s="72" t="s">
        <v>73</v>
      </c>
      <c r="C21" s="73"/>
      <c r="D21" s="74">
        <v>15.960443403843009</v>
      </c>
      <c r="E21" s="75">
        <f>(E9*E20*E10*$C$15)/1000</f>
        <v>88.938190934239941</v>
      </c>
      <c r="F21" s="75">
        <f t="shared" ref="F21:K21" si="6">(F9*F20*F10*$C$15)/1000</f>
        <v>81.526675023053272</v>
      </c>
      <c r="G21" s="75">
        <f t="shared" si="6"/>
        <v>77.820917067459959</v>
      </c>
      <c r="H21" s="75">
        <f t="shared" si="6"/>
        <v>74.115159111866618</v>
      </c>
      <c r="I21" s="75">
        <f t="shared" si="6"/>
        <v>70.409401156273276</v>
      </c>
      <c r="J21" s="75">
        <f>(J9*J20*J10*$C$15)/1000</f>
        <v>66.703643200679963</v>
      </c>
      <c r="K21" s="75">
        <f t="shared" si="6"/>
        <v>59.292127289493294</v>
      </c>
    </row>
    <row r="22" spans="1:14" x14ac:dyDescent="0.2">
      <c r="B22" s="76" t="s">
        <v>74</v>
      </c>
      <c r="C22" s="77"/>
      <c r="D22" s="77"/>
      <c r="E22" s="78"/>
      <c r="F22" s="79"/>
      <c r="G22" s="78"/>
      <c r="H22" s="80">
        <v>35.418185668341273</v>
      </c>
      <c r="J22" s="79"/>
      <c r="K22" s="79"/>
    </row>
    <row r="23" spans="1:14" x14ac:dyDescent="0.2">
      <c r="B23" s="29" t="s">
        <v>75</v>
      </c>
      <c r="C23" s="77"/>
      <c r="D23" s="81"/>
      <c r="E23" s="82"/>
      <c r="F23" s="82" t="s">
        <v>76</v>
      </c>
      <c r="G23" s="82">
        <v>16.378422429223495</v>
      </c>
      <c r="H23" s="83">
        <f>H20/(G23)</f>
        <v>17.404503120385371</v>
      </c>
      <c r="J23" s="82"/>
      <c r="K23" s="82"/>
    </row>
    <row r="24" spans="1:14" ht="13.5" thickBot="1" x14ac:dyDescent="0.25">
      <c r="C24" s="84"/>
      <c r="D24" s="85" t="s">
        <v>77</v>
      </c>
      <c r="E24" s="86">
        <f t="shared" ref="E24:K24" si="7">E21+$D$21</f>
        <v>104.89863433808296</v>
      </c>
      <c r="F24" s="86">
        <f t="shared" si="7"/>
        <v>97.487118426896274</v>
      </c>
      <c r="G24" s="86">
        <f t="shared" si="7"/>
        <v>93.781360471302975</v>
      </c>
      <c r="H24" s="87">
        <f>H21+$D$21</f>
        <v>90.075602515709619</v>
      </c>
      <c r="I24" s="86">
        <f t="shared" si="7"/>
        <v>86.369844560116292</v>
      </c>
      <c r="J24" s="86">
        <f t="shared" si="7"/>
        <v>82.664086604522964</v>
      </c>
      <c r="K24" s="86">
        <f t="shared" si="7"/>
        <v>75.25257069333631</v>
      </c>
      <c r="L24" s="88" t="s">
        <v>78</v>
      </c>
    </row>
    <row r="25" spans="1:14" x14ac:dyDescent="0.2">
      <c r="C25" s="77"/>
      <c r="D25" s="77"/>
      <c r="E25" s="82"/>
      <c r="F25" s="82"/>
      <c r="G25" s="82"/>
      <c r="H25" s="89"/>
      <c r="J25" s="82"/>
      <c r="K25" s="82"/>
      <c r="L25" s="88"/>
    </row>
    <row r="26" spans="1:14" x14ac:dyDescent="0.2">
      <c r="B26" s="29" t="s">
        <v>79</v>
      </c>
      <c r="C26" s="77"/>
      <c r="D26" s="77"/>
      <c r="E26" s="82"/>
      <c r="F26" s="82"/>
      <c r="G26" s="82"/>
      <c r="H26" s="90"/>
      <c r="J26" s="82"/>
      <c r="K26" s="82"/>
      <c r="L26" s="88"/>
    </row>
    <row r="27" spans="1:14" x14ac:dyDescent="0.2">
      <c r="C27" s="29" t="s">
        <v>152</v>
      </c>
      <c r="D27" s="29"/>
      <c r="E27" s="72" t="s">
        <v>91</v>
      </c>
      <c r="I27" s="29" t="s">
        <v>153</v>
      </c>
      <c r="K27" s="72" t="s">
        <v>91</v>
      </c>
    </row>
    <row r="28" spans="1:14" ht="15" x14ac:dyDescent="0.25">
      <c r="A28" s="91" t="s">
        <v>86</v>
      </c>
      <c r="B28" s="96"/>
      <c r="C28" s="99" t="s">
        <v>92</v>
      </c>
      <c r="D28" s="100"/>
      <c r="E28" s="97">
        <v>52.939399365619018</v>
      </c>
      <c r="F28" s="99" t="s">
        <v>45</v>
      </c>
      <c r="G28" s="100"/>
      <c r="H28" s="98">
        <f>E28-H21</f>
        <v>-21.1757597462476</v>
      </c>
      <c r="I28" s="99" t="s">
        <v>92</v>
      </c>
      <c r="J28" s="100"/>
      <c r="K28" s="97">
        <v>52.939399365619018</v>
      </c>
      <c r="L28" s="99" t="s">
        <v>45</v>
      </c>
      <c r="M28" s="100"/>
      <c r="N28" s="98">
        <f>H28-N21</f>
        <v>-21.1757597462476</v>
      </c>
    </row>
    <row r="29" spans="1:14" x14ac:dyDescent="0.2">
      <c r="C29" s="99" t="s">
        <v>149</v>
      </c>
      <c r="D29" s="100"/>
      <c r="E29" s="97">
        <f>H21*10^3*457</f>
        <v>33870627.71412304</v>
      </c>
      <c r="F29" s="99" t="s">
        <v>87</v>
      </c>
      <c r="G29" s="100"/>
      <c r="H29" s="98">
        <f>H28*10^3</f>
        <v>-21175.759746247601</v>
      </c>
      <c r="I29" s="99" t="s">
        <v>112</v>
      </c>
      <c r="J29" s="100"/>
      <c r="K29" s="97">
        <f>H21*10^3*600</f>
        <v>44469095.467119969</v>
      </c>
      <c r="L29" s="99" t="s">
        <v>87</v>
      </c>
      <c r="M29" s="100"/>
      <c r="N29" s="98">
        <f>N28*10^3</f>
        <v>-21175.759746247601</v>
      </c>
    </row>
    <row r="30" spans="1:14" x14ac:dyDescent="0.2">
      <c r="B30" s="29" t="s">
        <v>148</v>
      </c>
      <c r="C30" s="99" t="s">
        <v>150</v>
      </c>
      <c r="D30" s="100"/>
      <c r="E30" s="118">
        <f>E28*10^3*457</f>
        <v>24193305.510087889</v>
      </c>
      <c r="F30" s="115"/>
      <c r="G30" s="115"/>
      <c r="H30" s="115"/>
      <c r="I30" s="99" t="s">
        <v>113</v>
      </c>
      <c r="J30" s="100"/>
      <c r="K30" s="118">
        <f>K28*10^3*600</f>
        <v>31763639.619371407</v>
      </c>
      <c r="L30" s="115"/>
      <c r="M30" s="115"/>
      <c r="N30" s="115"/>
    </row>
    <row r="31" spans="1:14" x14ac:dyDescent="0.2">
      <c r="C31" s="99" t="s">
        <v>151</v>
      </c>
      <c r="D31" s="100"/>
      <c r="E31" s="97">
        <f>E29-E30</f>
        <v>9677322.2040351517</v>
      </c>
      <c r="F31" s="116"/>
      <c r="G31" s="116"/>
      <c r="H31" s="116"/>
      <c r="I31" s="99" t="s">
        <v>114</v>
      </c>
      <c r="J31" s="100"/>
      <c r="K31" s="97">
        <f>K29-K30</f>
        <v>12705455.847748563</v>
      </c>
      <c r="L31" s="116"/>
      <c r="M31" s="116"/>
      <c r="N31" s="116"/>
    </row>
    <row r="32" spans="1:14" x14ac:dyDescent="0.2">
      <c r="C32" s="99" t="s">
        <v>110</v>
      </c>
      <c r="D32" s="100"/>
      <c r="E32" s="97">
        <f>ABS(H29*143)</f>
        <v>3028133.6437134068</v>
      </c>
      <c r="F32" s="116"/>
      <c r="G32" s="116"/>
      <c r="H32" s="116"/>
      <c r="I32" s="99" t="s">
        <v>110</v>
      </c>
      <c r="J32" s="100"/>
      <c r="K32" s="97">
        <f>ABS(N29*0)</f>
        <v>0</v>
      </c>
      <c r="L32" s="116"/>
      <c r="M32" s="116"/>
      <c r="N32" s="116"/>
    </row>
    <row r="33" spans="2:14" x14ac:dyDescent="0.2">
      <c r="C33" s="99"/>
      <c r="D33" s="100"/>
      <c r="E33" s="115"/>
      <c r="F33" s="116"/>
      <c r="G33" s="116"/>
      <c r="H33" s="116"/>
      <c r="I33" s="99"/>
      <c r="J33" s="100"/>
      <c r="K33" s="115"/>
      <c r="L33" s="116"/>
      <c r="M33" s="116"/>
      <c r="N33" s="116"/>
    </row>
    <row r="34" spans="2:14" x14ac:dyDescent="0.2">
      <c r="I34" s="115"/>
      <c r="J34" s="115"/>
      <c r="K34" s="115"/>
      <c r="L34" s="114"/>
    </row>
    <row r="35" spans="2:14" x14ac:dyDescent="0.2">
      <c r="I35" s="115"/>
      <c r="J35" s="115"/>
      <c r="K35" s="115"/>
      <c r="L35" s="114"/>
    </row>
    <row r="36" spans="2:14" x14ac:dyDescent="0.2">
      <c r="B36" s="29" t="s">
        <v>139</v>
      </c>
      <c r="D36" s="94" t="s">
        <v>121</v>
      </c>
      <c r="E36" s="29" t="s">
        <v>122</v>
      </c>
      <c r="F36" s="29" t="s">
        <v>123</v>
      </c>
      <c r="G36" s="29" t="s">
        <v>124</v>
      </c>
    </row>
    <row r="37" spans="2:14" x14ac:dyDescent="0.2">
      <c r="B37" s="119">
        <v>1</v>
      </c>
      <c r="C37" s="120" t="s">
        <v>40</v>
      </c>
      <c r="D37" s="121">
        <v>1.9468270000000001</v>
      </c>
      <c r="E37" s="121">
        <v>19.748612000000001</v>
      </c>
      <c r="F37" s="121">
        <v>26.103415999999999</v>
      </c>
      <c r="G37" s="121">
        <v>-9.9120840000000001</v>
      </c>
    </row>
    <row r="38" spans="2:14" x14ac:dyDescent="0.2">
      <c r="B38" s="29" t="s">
        <v>111</v>
      </c>
      <c r="C38" s="94">
        <v>457</v>
      </c>
      <c r="D38" s="122" t="s">
        <v>118</v>
      </c>
      <c r="E38" s="117">
        <f>E37*C38*10^3*0.39</f>
        <v>3519795.1167600001</v>
      </c>
      <c r="F38" s="117">
        <f>F37*C38*10^3</f>
        <v>11929261.112</v>
      </c>
      <c r="G38" s="117">
        <f>G37*C38*10^3</f>
        <v>-4529822.3880000003</v>
      </c>
    </row>
    <row r="39" spans="2:14" x14ac:dyDescent="0.2">
      <c r="B39" s="29" t="s">
        <v>115</v>
      </c>
      <c r="C39" s="94">
        <v>600</v>
      </c>
      <c r="D39" s="122" t="s">
        <v>118</v>
      </c>
      <c r="E39" s="117">
        <f>E37*C39*10^3*0.39</f>
        <v>4621175.2080000006</v>
      </c>
      <c r="F39" s="117">
        <f>F37*C39*10^3</f>
        <v>15662049.6</v>
      </c>
      <c r="G39" s="117">
        <f>G37*C39*10^3</f>
        <v>-5947250.3999999994</v>
      </c>
    </row>
    <row r="41" spans="2:14" x14ac:dyDescent="0.2">
      <c r="B41" s="29" t="s">
        <v>88</v>
      </c>
      <c r="G41" s="117">
        <f>G37*10^6*88.3</f>
        <v>-875237017.19999993</v>
      </c>
    </row>
    <row r="43" spans="2:14" x14ac:dyDescent="0.2">
      <c r="B43" s="29" t="s">
        <v>138</v>
      </c>
      <c r="D43" s="94" t="s">
        <v>121</v>
      </c>
      <c r="E43" s="29" t="s">
        <v>122</v>
      </c>
      <c r="F43" s="29" t="s">
        <v>123</v>
      </c>
      <c r="G43" s="29" t="s">
        <v>124</v>
      </c>
    </row>
    <row r="44" spans="2:14" x14ac:dyDescent="0.2">
      <c r="B44" s="119">
        <v>1</v>
      </c>
      <c r="C44" s="120" t="s">
        <v>40</v>
      </c>
      <c r="D44" s="121">
        <v>1.9468270000000001</v>
      </c>
      <c r="E44" s="121">
        <v>19.748612000000001</v>
      </c>
      <c r="F44" s="121">
        <v>26.103415999999999</v>
      </c>
      <c r="G44" s="121">
        <v>-9.9120840000000001</v>
      </c>
    </row>
    <row r="45" spans="2:14" x14ac:dyDescent="0.2">
      <c r="B45" s="29" t="s">
        <v>111</v>
      </c>
      <c r="C45" s="94">
        <f>4.075*10^3</f>
        <v>4075</v>
      </c>
      <c r="D45" s="122" t="s">
        <v>118</v>
      </c>
      <c r="E45" s="117">
        <f>E44*C45*10^3*0.39</f>
        <v>31385481.621000003</v>
      </c>
      <c r="F45" s="117">
        <f>F44*C45*10^3</f>
        <v>106371420.19999999</v>
      </c>
      <c r="G45" s="117">
        <f>G44*C45*10^3</f>
        <v>-40391742.299999997</v>
      </c>
    </row>
    <row r="46" spans="2:14" x14ac:dyDescent="0.2">
      <c r="B46" s="29" t="s">
        <v>115</v>
      </c>
      <c r="C46" s="94">
        <f>4.075*10^3</f>
        <v>4075</v>
      </c>
      <c r="D46" s="122" t="s">
        <v>118</v>
      </c>
      <c r="E46" s="117">
        <f>E44*C46*10^3*0.39</f>
        <v>31385481.621000003</v>
      </c>
      <c r="F46" s="117">
        <f>F44*C46*10^3</f>
        <v>106371420.19999999</v>
      </c>
      <c r="G46" s="117">
        <f>G44*C46*10^3</f>
        <v>-40391742.299999997</v>
      </c>
    </row>
    <row r="48" spans="2:14" x14ac:dyDescent="0.2">
      <c r="B48" s="29" t="s">
        <v>88</v>
      </c>
      <c r="G48" s="117">
        <f>G44*10^6*88.3</f>
        <v>-875237017.19999993</v>
      </c>
    </row>
  </sheetData>
  <mergeCells count="2">
    <mergeCell ref="D5:D6"/>
    <mergeCell ref="E5:K5"/>
  </mergeCells>
  <conditionalFormatting sqref="D37:G37">
    <cfRule type="cellIs" dxfId="2" priority="2" operator="equal">
      <formula>0</formula>
    </cfRule>
  </conditionalFormatting>
  <conditionalFormatting sqref="D44:G44">
    <cfRule type="cellIs" dxfId="1" priority="1" operator="equal">
      <formula>0</formula>
    </cfRule>
  </conditionalFormatting>
  <pageMargins left="0.7" right="0.7" top="0.75" bottom="0.75" header="0.3" footer="0.3"/>
  <pageSetup paperSize="9" scale="74"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zoomScale="75" zoomScaleNormal="75" workbookViewId="0">
      <selection activeCell="N13" sqref="N13"/>
    </sheetView>
  </sheetViews>
  <sheetFormatPr defaultRowHeight="15" x14ac:dyDescent="0.25"/>
  <cols>
    <col min="3" max="3" width="27.5703125" customWidth="1"/>
    <col min="4" max="4" width="27.85546875" bestFit="1" customWidth="1"/>
    <col min="5" max="5" width="20" bestFit="1" customWidth="1"/>
    <col min="6" max="6" width="25.28515625" bestFit="1" customWidth="1"/>
    <col min="7" max="7" width="29" bestFit="1" customWidth="1"/>
    <col min="8" max="8" width="16.28515625" bestFit="1" customWidth="1"/>
    <col min="9" max="9" width="15.7109375" customWidth="1"/>
  </cols>
  <sheetData>
    <row r="1" spans="1:9" ht="24" thickBot="1" x14ac:dyDescent="0.4">
      <c r="A1" s="95" t="s">
        <v>83</v>
      </c>
    </row>
    <row r="2" spans="1:9" ht="15.75" thickBot="1" x14ac:dyDescent="0.3">
      <c r="B2" s="15" t="s">
        <v>33</v>
      </c>
      <c r="C2" s="15"/>
      <c r="D2" s="21"/>
      <c r="E2" s="16"/>
      <c r="F2" s="17"/>
    </row>
    <row r="3" spans="1:9" x14ac:dyDescent="0.25">
      <c r="B3" s="146" t="s">
        <v>34</v>
      </c>
      <c r="C3" s="149" t="s">
        <v>35</v>
      </c>
      <c r="D3" s="149" t="s">
        <v>41</v>
      </c>
      <c r="E3" s="143" t="s">
        <v>36</v>
      </c>
      <c r="F3" s="143" t="s">
        <v>37</v>
      </c>
      <c r="G3" s="143" t="s">
        <v>38</v>
      </c>
      <c r="H3" s="143" t="s">
        <v>39</v>
      </c>
      <c r="I3" s="143" t="s">
        <v>44</v>
      </c>
    </row>
    <row r="4" spans="1:9" x14ac:dyDescent="0.25">
      <c r="B4" s="147"/>
      <c r="C4" s="150"/>
      <c r="D4" s="150"/>
      <c r="E4" s="144"/>
      <c r="F4" s="144"/>
      <c r="G4" s="144"/>
      <c r="H4" s="144"/>
      <c r="I4" s="144"/>
    </row>
    <row r="5" spans="1:9" ht="15.75" thickBot="1" x14ac:dyDescent="0.3">
      <c r="B5" s="148"/>
      <c r="C5" s="151"/>
      <c r="D5" s="151"/>
      <c r="E5" s="145"/>
      <c r="F5" s="145"/>
      <c r="G5" s="145"/>
      <c r="H5" s="145"/>
      <c r="I5" s="145"/>
    </row>
    <row r="6" spans="1:9" ht="15.75" thickBot="1" x14ac:dyDescent="0.3">
      <c r="B6" s="18">
        <v>1</v>
      </c>
      <c r="C6" s="19" t="s">
        <v>40</v>
      </c>
      <c r="D6" s="19" t="s">
        <v>42</v>
      </c>
      <c r="E6" s="20">
        <v>1.9468270000000001</v>
      </c>
      <c r="F6" s="20">
        <v>25.384370000000001</v>
      </c>
      <c r="G6" s="20">
        <v>32.187255</v>
      </c>
      <c r="H6" s="20">
        <v>-9.6609730000000003</v>
      </c>
      <c r="I6" t="s">
        <v>108</v>
      </c>
    </row>
    <row r="7" spans="1:9" ht="15.75" thickBot="1" x14ac:dyDescent="0.3">
      <c r="B7" s="22">
        <v>2</v>
      </c>
      <c r="C7" s="23" t="s">
        <v>40</v>
      </c>
      <c r="D7" s="23" t="s">
        <v>43</v>
      </c>
      <c r="E7" s="20">
        <v>1.9468270000000001</v>
      </c>
      <c r="F7" s="20">
        <v>26.810397999999999</v>
      </c>
      <c r="G7" s="20">
        <v>33.726661999999997</v>
      </c>
      <c r="H7" s="20">
        <v>-9.7600309999999997</v>
      </c>
      <c r="I7" t="s">
        <v>109</v>
      </c>
    </row>
    <row r="8" spans="1:9" ht="15.75" thickBot="1" x14ac:dyDescent="0.3">
      <c r="B8" s="22" t="s">
        <v>45</v>
      </c>
      <c r="C8" s="23" t="s">
        <v>40</v>
      </c>
      <c r="D8" s="23" t="s">
        <v>46</v>
      </c>
      <c r="E8" s="24">
        <f>E6-E7</f>
        <v>0</v>
      </c>
      <c r="F8" s="24">
        <f t="shared" ref="F8:H8" si="0">F6-F7</f>
        <v>-1.4260279999999987</v>
      </c>
      <c r="G8" s="24">
        <f t="shared" si="0"/>
        <v>-1.5394069999999971</v>
      </c>
      <c r="H8" s="24">
        <f t="shared" si="0"/>
        <v>9.9057999999999424E-2</v>
      </c>
    </row>
    <row r="9" spans="1:9" ht="18.75" x14ac:dyDescent="0.3">
      <c r="B9" s="111" t="s">
        <v>94</v>
      </c>
      <c r="C9" s="103"/>
      <c r="D9" s="103"/>
      <c r="E9" s="104"/>
      <c r="F9" s="104"/>
      <c r="G9" s="104"/>
      <c r="H9" s="104"/>
    </row>
    <row r="10" spans="1:9" ht="15.75" thickBot="1" x14ac:dyDescent="0.3">
      <c r="C10" s="2">
        <v>88.3</v>
      </c>
      <c r="D10" s="2" t="s">
        <v>49</v>
      </c>
      <c r="E10" s="2"/>
      <c r="F10" s="2"/>
      <c r="G10" s="2"/>
      <c r="H10" s="2"/>
      <c r="I10" s="102"/>
    </row>
    <row r="11" spans="1:9" x14ac:dyDescent="0.25">
      <c r="C11" s="105">
        <f>H6*10^6</f>
        <v>-9660973</v>
      </c>
      <c r="D11" s="106" t="s">
        <v>95</v>
      </c>
      <c r="E11" s="107"/>
      <c r="F11" s="105">
        <f>H7*10^6</f>
        <v>-9760031</v>
      </c>
      <c r="G11" s="106" t="s">
        <v>96</v>
      </c>
      <c r="H11" s="107"/>
    </row>
    <row r="12" spans="1:9" ht="15.75" thickBot="1" x14ac:dyDescent="0.3">
      <c r="C12" s="108">
        <f>C11*C10</f>
        <v>-853063915.89999998</v>
      </c>
      <c r="D12" s="109" t="s">
        <v>98</v>
      </c>
      <c r="E12" s="110"/>
      <c r="F12" s="108">
        <f>F11*C10</f>
        <v>-861810737.29999995</v>
      </c>
      <c r="G12" s="109" t="s">
        <v>97</v>
      </c>
      <c r="H12" s="110"/>
    </row>
    <row r="13" spans="1:9" x14ac:dyDescent="0.25">
      <c r="C13" s="25">
        <f>C12-F12</f>
        <v>8746821.3999999762</v>
      </c>
      <c r="D13" s="26" t="s">
        <v>99</v>
      </c>
      <c r="E13" s="27"/>
      <c r="F13" s="27"/>
      <c r="G13" s="27"/>
      <c r="H13" s="27"/>
    </row>
    <row r="15" spans="1:9" ht="18.75" x14ac:dyDescent="0.3">
      <c r="B15" s="111" t="s">
        <v>100</v>
      </c>
    </row>
    <row r="16" spans="1:9" x14ac:dyDescent="0.25">
      <c r="C16" s="2">
        <f>4075/10^3</f>
        <v>4.0750000000000002</v>
      </c>
      <c r="D16" s="2" t="s">
        <v>101</v>
      </c>
      <c r="E16" s="2"/>
      <c r="F16" s="2"/>
      <c r="G16" s="2"/>
      <c r="H16" s="2"/>
    </row>
    <row r="17" spans="1:9" x14ac:dyDescent="0.25">
      <c r="C17" s="112"/>
      <c r="D17" s="142" t="s">
        <v>102</v>
      </c>
      <c r="E17" s="142"/>
      <c r="F17" s="142"/>
      <c r="G17" s="142" t="s">
        <v>105</v>
      </c>
      <c r="H17" s="142"/>
      <c r="I17" s="142"/>
    </row>
    <row r="18" spans="1:9" s="112" customFormat="1" x14ac:dyDescent="0.25">
      <c r="D18" s="113" t="s">
        <v>103</v>
      </c>
      <c r="E18" s="113" t="s">
        <v>104</v>
      </c>
      <c r="F18" s="112" t="s">
        <v>88</v>
      </c>
      <c r="G18" s="113" t="s">
        <v>103</v>
      </c>
      <c r="H18" s="113" t="s">
        <v>104</v>
      </c>
      <c r="I18" s="112" t="s">
        <v>88</v>
      </c>
    </row>
    <row r="19" spans="1:9" x14ac:dyDescent="0.25">
      <c r="A19">
        <v>0.3</v>
      </c>
      <c r="B19" t="s">
        <v>47</v>
      </c>
      <c r="C19">
        <v>0.14000000000000001</v>
      </c>
      <c r="D19" s="101">
        <f>$A19*$C19*10^6*F$6</f>
        <v>1066143.54</v>
      </c>
      <c r="E19" s="101">
        <f>$A19*$C19*10^6*G$6</f>
        <v>1351864.71</v>
      </c>
      <c r="F19" s="101">
        <f>$H$6*10^6*$A19</f>
        <v>-2898291.9</v>
      </c>
      <c r="G19" s="101">
        <f>$A19*$C19*10^6*F$7</f>
        <v>1126036.716</v>
      </c>
      <c r="H19" s="101">
        <f>$A19*$C19*10^6*G$7</f>
        <v>1416519.804</v>
      </c>
      <c r="I19" s="101">
        <f>$H$7*10^6*$A19</f>
        <v>-2928009.3</v>
      </c>
    </row>
    <row r="20" spans="1:9" x14ac:dyDescent="0.25">
      <c r="A20">
        <f>C16-A19</f>
        <v>3.7750000000000004</v>
      </c>
      <c r="B20" t="s">
        <v>48</v>
      </c>
      <c r="C20">
        <v>0.39</v>
      </c>
      <c r="D20" s="101">
        <f>$A20*$C20*10^6*F$6</f>
        <v>37372138.732500009</v>
      </c>
      <c r="E20" s="101">
        <f>$A20*10^6*G$6</f>
        <v>121506887.62500001</v>
      </c>
      <c r="F20" s="101">
        <f t="shared" ref="F20" si="1">$H$6*10^6*$A20</f>
        <v>-36470173.075000003</v>
      </c>
      <c r="G20" s="101">
        <f>$A20*$C20*10^6*F$7</f>
        <v>39471608.455500007</v>
      </c>
      <c r="H20" s="101">
        <f>$A20*10^6*G$7</f>
        <v>127318149.05000001</v>
      </c>
      <c r="I20" s="101">
        <f t="shared" ref="I20:I21" si="2">$H$7*10^6*$A20</f>
        <v>-36844117.025000006</v>
      </c>
    </row>
    <row r="21" spans="1:9" x14ac:dyDescent="0.25">
      <c r="A21">
        <v>0.6</v>
      </c>
      <c r="B21" t="s">
        <v>89</v>
      </c>
      <c r="C21">
        <v>0.39</v>
      </c>
      <c r="D21" s="101">
        <f>$A21*$C21*10^6*F$6</f>
        <v>5939942.5800000001</v>
      </c>
      <c r="E21" s="101">
        <f>$A21*10^6*G$6</f>
        <v>19312353</v>
      </c>
      <c r="F21" s="101">
        <f>$H$6*10^6*$A21</f>
        <v>-5796583.7999999998</v>
      </c>
      <c r="G21" s="101">
        <f>$A21*$C21*10^6*F$7</f>
        <v>6273633.1320000002</v>
      </c>
      <c r="H21" s="101">
        <f>$A21*10^6*G$7</f>
        <v>20235997.199999999</v>
      </c>
      <c r="I21" s="101">
        <f t="shared" si="2"/>
        <v>-5856018.5999999996</v>
      </c>
    </row>
    <row r="22" spans="1:9" x14ac:dyDescent="0.25">
      <c r="D22" s="101"/>
      <c r="E22" s="101"/>
      <c r="F22" s="101"/>
      <c r="G22" s="101"/>
    </row>
    <row r="23" spans="1:9" x14ac:dyDescent="0.25">
      <c r="C23" s="28">
        <f>SUM(G19:H20)-SUM(D19:E20)</f>
        <v>8035279.4180000126</v>
      </c>
      <c r="D23" s="26" t="s">
        <v>107</v>
      </c>
      <c r="E23" s="27"/>
      <c r="F23" s="27"/>
      <c r="G23" s="27"/>
      <c r="H23" s="27"/>
    </row>
    <row r="24" spans="1:9" x14ac:dyDescent="0.25">
      <c r="C24" s="28">
        <f>(C23/SUM(A19:A20))*0.6</f>
        <v>1183108.625963192</v>
      </c>
      <c r="D24" s="28" t="s">
        <v>106</v>
      </c>
      <c r="E24" s="28"/>
      <c r="F24" s="28"/>
      <c r="G24" s="28"/>
      <c r="H24" s="28"/>
    </row>
  </sheetData>
  <mergeCells count="10">
    <mergeCell ref="G17:I17"/>
    <mergeCell ref="D17:F17"/>
    <mergeCell ref="I3:I5"/>
    <mergeCell ref="B3:B5"/>
    <mergeCell ref="C3:C5"/>
    <mergeCell ref="E3:E5"/>
    <mergeCell ref="F3:F5"/>
    <mergeCell ref="G3:G5"/>
    <mergeCell ref="H3:H5"/>
    <mergeCell ref="D3:D5"/>
  </mergeCells>
  <pageMargins left="0.7" right="0.7" top="0.75" bottom="0.75" header="0.3" footer="0.3"/>
  <pageSetup orientation="portrait" horizontalDpi="90" verticalDpi="9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zoomScale="80" zoomScaleNormal="80" workbookViewId="0">
      <selection activeCell="G10" sqref="G10"/>
    </sheetView>
  </sheetViews>
  <sheetFormatPr defaultRowHeight="15" x14ac:dyDescent="0.25"/>
  <cols>
    <col min="3" max="3" width="18" customWidth="1"/>
    <col min="4" max="4" width="27.85546875" customWidth="1"/>
    <col min="5" max="5" width="20" customWidth="1"/>
    <col min="6" max="6" width="25.28515625" customWidth="1"/>
    <col min="7" max="7" width="29" customWidth="1"/>
    <col min="8" max="8" width="20.5703125" customWidth="1"/>
    <col min="9" max="9" width="17.5703125" customWidth="1"/>
  </cols>
  <sheetData>
    <row r="1" spans="1:9" ht="24" thickBot="1" x14ac:dyDescent="0.4">
      <c r="A1" s="95" t="s">
        <v>90</v>
      </c>
    </row>
    <row r="2" spans="1:9" ht="15.75" thickBot="1" x14ac:dyDescent="0.3">
      <c r="B2" s="15" t="s">
        <v>33</v>
      </c>
      <c r="C2" s="15"/>
      <c r="D2" s="21"/>
      <c r="E2" s="16"/>
      <c r="F2" s="17"/>
    </row>
    <row r="3" spans="1:9" x14ac:dyDescent="0.25">
      <c r="B3" s="146" t="s">
        <v>34</v>
      </c>
      <c r="C3" s="149" t="s">
        <v>35</v>
      </c>
      <c r="D3" s="149" t="s">
        <v>41</v>
      </c>
      <c r="E3" s="143" t="s">
        <v>36</v>
      </c>
      <c r="F3" s="143" t="s">
        <v>37</v>
      </c>
      <c r="G3" s="143" t="s">
        <v>38</v>
      </c>
      <c r="H3" s="143" t="s">
        <v>39</v>
      </c>
      <c r="I3" s="143" t="s">
        <v>44</v>
      </c>
    </row>
    <row r="4" spans="1:9" x14ac:dyDescent="0.25">
      <c r="B4" s="147"/>
      <c r="C4" s="150"/>
      <c r="D4" s="150"/>
      <c r="E4" s="144"/>
      <c r="F4" s="144"/>
      <c r="G4" s="144"/>
      <c r="H4" s="144"/>
      <c r="I4" s="144"/>
    </row>
    <row r="5" spans="1:9" ht="15.75" thickBot="1" x14ac:dyDescent="0.3">
      <c r="B5" s="148"/>
      <c r="C5" s="151"/>
      <c r="D5" s="151"/>
      <c r="E5" s="145"/>
      <c r="F5" s="145"/>
      <c r="G5" s="145"/>
      <c r="H5" s="145"/>
      <c r="I5" s="145"/>
    </row>
    <row r="6" spans="1:9" ht="15.75" thickBot="1" x14ac:dyDescent="0.3">
      <c r="B6" s="18">
        <v>0</v>
      </c>
      <c r="C6" s="19" t="s">
        <v>89</v>
      </c>
      <c r="D6" s="19" t="s">
        <v>141</v>
      </c>
      <c r="E6" s="20">
        <v>1.9468270000000001</v>
      </c>
      <c r="F6" s="20">
        <v>0</v>
      </c>
      <c r="G6" s="20">
        <v>114.73316270097769</v>
      </c>
      <c r="H6" s="20">
        <v>-9.1491129480918705</v>
      </c>
      <c r="I6" t="s">
        <v>142</v>
      </c>
    </row>
    <row r="7" spans="1:9" ht="15.75" thickBot="1" x14ac:dyDescent="0.3">
      <c r="B7" s="22">
        <v>0</v>
      </c>
      <c r="C7" s="23" t="s">
        <v>89</v>
      </c>
      <c r="D7" s="23" t="s">
        <v>143</v>
      </c>
      <c r="E7" s="20">
        <f>E6</f>
        <v>1.9468270000000001</v>
      </c>
      <c r="F7" s="20">
        <v>0</v>
      </c>
      <c r="G7" s="20">
        <v>136.87964884166223</v>
      </c>
      <c r="H7" s="20">
        <v>-9.1568061356296493</v>
      </c>
      <c r="I7" t="s">
        <v>142</v>
      </c>
    </row>
    <row r="8" spans="1:9" ht="15.75" thickBot="1" x14ac:dyDescent="0.3">
      <c r="B8" s="22" t="s">
        <v>45</v>
      </c>
      <c r="C8" s="23" t="s">
        <v>89</v>
      </c>
      <c r="D8" s="23" t="s">
        <v>116</v>
      </c>
      <c r="E8" s="24">
        <f>E6-E7</f>
        <v>0</v>
      </c>
      <c r="F8" s="24">
        <f t="shared" ref="F8:H8" si="0">F6-F7</f>
        <v>0</v>
      </c>
      <c r="G8" s="24">
        <f t="shared" si="0"/>
        <v>-22.146486140684544</v>
      </c>
      <c r="H8" s="24">
        <f t="shared" si="0"/>
        <v>7.6931875377788117E-3</v>
      </c>
      <c r="I8" t="s">
        <v>144</v>
      </c>
    </row>
    <row r="9" spans="1:9" x14ac:dyDescent="0.25">
      <c r="B9" s="135"/>
      <c r="C9" s="103"/>
      <c r="D9" s="103"/>
      <c r="E9" s="104"/>
      <c r="F9" s="104"/>
      <c r="G9" s="104"/>
      <c r="H9" s="104"/>
    </row>
    <row r="10" spans="1:9" ht="18.75" x14ac:dyDescent="0.3">
      <c r="B10" s="111" t="s">
        <v>94</v>
      </c>
      <c r="C10" s="103"/>
      <c r="D10" s="103"/>
      <c r="E10" s="104"/>
      <c r="F10" s="104"/>
      <c r="G10" s="104"/>
      <c r="H10" s="104"/>
    </row>
    <row r="11" spans="1:9" ht="15.75" thickBot="1" x14ac:dyDescent="0.3">
      <c r="C11" s="2">
        <v>88.3</v>
      </c>
      <c r="D11" s="2" t="s">
        <v>49</v>
      </c>
      <c r="E11" s="2"/>
      <c r="F11" s="2"/>
      <c r="G11" s="2"/>
      <c r="H11" s="2"/>
      <c r="I11" s="102"/>
    </row>
    <row r="12" spans="1:9" x14ac:dyDescent="0.25">
      <c r="C12" s="105">
        <f>H6*10^6</f>
        <v>-9149112.9480918702</v>
      </c>
      <c r="D12" s="106" t="s">
        <v>95</v>
      </c>
      <c r="E12" s="107"/>
      <c r="F12" s="105">
        <f>H7*10^6</f>
        <v>-9156806.1356296502</v>
      </c>
      <c r="G12" s="106" t="s">
        <v>96</v>
      </c>
      <c r="H12" s="107"/>
    </row>
    <row r="13" spans="1:9" ht="15.75" thickBot="1" x14ac:dyDescent="0.3">
      <c r="C13" s="108">
        <f>C12*C11</f>
        <v>-807866673.31651211</v>
      </c>
      <c r="D13" s="109" t="s">
        <v>98</v>
      </c>
      <c r="E13" s="110"/>
      <c r="F13" s="108">
        <f>F12*C11</f>
        <v>-808545981.77609813</v>
      </c>
      <c r="G13" s="109" t="s">
        <v>97</v>
      </c>
      <c r="H13" s="110"/>
    </row>
    <row r="14" spans="1:9" x14ac:dyDescent="0.25">
      <c r="C14" s="25">
        <f>C13-F13</f>
        <v>679308.45958602428</v>
      </c>
      <c r="D14" s="26" t="s">
        <v>99</v>
      </c>
      <c r="E14" s="27"/>
      <c r="F14" s="27"/>
      <c r="G14" s="27"/>
      <c r="H14" s="27"/>
    </row>
    <row r="16" spans="1:9" ht="18.75" x14ac:dyDescent="0.3">
      <c r="B16" s="111" t="s">
        <v>146</v>
      </c>
    </row>
    <row r="17" spans="1:9" x14ac:dyDescent="0.25">
      <c r="C17" s="2">
        <v>0.6</v>
      </c>
      <c r="D17" s="2" t="s">
        <v>145</v>
      </c>
      <c r="E17" s="2"/>
      <c r="F17" s="2"/>
      <c r="G17" s="2"/>
      <c r="H17" s="2"/>
    </row>
    <row r="18" spans="1:9" x14ac:dyDescent="0.25">
      <c r="C18" s="112"/>
      <c r="D18" s="142" t="s">
        <v>102</v>
      </c>
      <c r="E18" s="142"/>
      <c r="F18" s="142"/>
      <c r="G18" s="142" t="s">
        <v>105</v>
      </c>
      <c r="H18" s="142"/>
      <c r="I18" s="142"/>
    </row>
    <row r="19" spans="1:9" s="112" customFormat="1" x14ac:dyDescent="0.25">
      <c r="D19" s="113" t="s">
        <v>103</v>
      </c>
      <c r="E19" s="113" t="s">
        <v>104</v>
      </c>
      <c r="F19" s="112" t="s">
        <v>124</v>
      </c>
      <c r="G19" s="113" t="s">
        <v>103</v>
      </c>
      <c r="H19" s="113" t="s">
        <v>104</v>
      </c>
      <c r="I19" s="113" t="s">
        <v>88</v>
      </c>
    </row>
    <row r="20" spans="1:9" x14ac:dyDescent="0.25">
      <c r="A20">
        <v>0.6</v>
      </c>
      <c r="B20" t="s">
        <v>48</v>
      </c>
      <c r="C20">
        <v>0.39</v>
      </c>
      <c r="D20" s="101">
        <f>$A20*$C20*10^6*F$6</f>
        <v>0</v>
      </c>
      <c r="E20" s="101">
        <f>$A20*10^6*G$6</f>
        <v>68839897.620586619</v>
      </c>
      <c r="F20" s="101">
        <f>A20*10^6*H6</f>
        <v>-5489467.7688551219</v>
      </c>
      <c r="G20" s="101">
        <f>$A20*$C20*10^6*F$7</f>
        <v>0</v>
      </c>
      <c r="H20" s="101">
        <f>$A20*10^6*G$7</f>
        <v>82127789.30499734</v>
      </c>
      <c r="I20" s="101">
        <f>A20*10^6*H7</f>
        <v>-5494083.6813777899</v>
      </c>
    </row>
    <row r="21" spans="1:9" x14ac:dyDescent="0.25">
      <c r="C21" s="28">
        <f>SUM(G20:I20)-SUM(D20:F20)</f>
        <v>13283275.771888062</v>
      </c>
      <c r="D21" s="28" t="s">
        <v>106</v>
      </c>
      <c r="E21" s="28"/>
      <c r="F21" s="28"/>
      <c r="G21" s="28"/>
      <c r="H21" s="28"/>
    </row>
  </sheetData>
  <mergeCells count="10">
    <mergeCell ref="H3:H5"/>
    <mergeCell ref="I3:I5"/>
    <mergeCell ref="D18:F18"/>
    <mergeCell ref="G18:I18"/>
    <mergeCell ref="B3:B5"/>
    <mergeCell ref="C3:C5"/>
    <mergeCell ref="D3:D5"/>
    <mergeCell ref="E3:E5"/>
    <mergeCell ref="F3:F5"/>
    <mergeCell ref="G3:G5"/>
  </mergeCells>
  <pageMargins left="0.7" right="0.7" top="0.75" bottom="0.75" header="0.3" footer="0.3"/>
  <pageSetup orientation="portrait" horizontalDpi="90" verticalDpi="9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35"/>
  <sheetViews>
    <sheetView zoomScale="70" zoomScaleNormal="70" workbookViewId="0">
      <selection activeCell="C42" sqref="C42"/>
    </sheetView>
  </sheetViews>
  <sheetFormatPr defaultRowHeight="15" x14ac:dyDescent="0.25"/>
  <cols>
    <col min="2" max="2" width="18" bestFit="1" customWidth="1"/>
    <col min="3" max="3" width="73" bestFit="1" customWidth="1"/>
    <col min="5" max="5" width="61.140625" bestFit="1" customWidth="1"/>
  </cols>
  <sheetData>
    <row r="1" spans="2:6" x14ac:dyDescent="0.25">
      <c r="B1" s="6" t="s">
        <v>5</v>
      </c>
      <c r="C1" s="6" t="s">
        <v>4</v>
      </c>
      <c r="D1" s="6" t="s">
        <v>6</v>
      </c>
      <c r="E1" s="6" t="s">
        <v>29</v>
      </c>
      <c r="F1" s="6" t="s">
        <v>9</v>
      </c>
    </row>
    <row r="2" spans="2:6" x14ac:dyDescent="0.25">
      <c r="B2" s="2">
        <v>504</v>
      </c>
      <c r="C2" t="s">
        <v>0</v>
      </c>
      <c r="D2" t="s">
        <v>3</v>
      </c>
      <c r="E2" s="3">
        <v>43466</v>
      </c>
      <c r="F2" s="4">
        <f>B2/$B$4</f>
        <v>0.72</v>
      </c>
    </row>
    <row r="3" spans="2:6" x14ac:dyDescent="0.25">
      <c r="B3" s="2">
        <v>196</v>
      </c>
      <c r="C3" t="s">
        <v>1</v>
      </c>
      <c r="D3" t="s">
        <v>3</v>
      </c>
      <c r="E3" t="s">
        <v>28</v>
      </c>
      <c r="F3" s="4">
        <f>B3/$B$4</f>
        <v>0.28000000000000003</v>
      </c>
    </row>
    <row r="4" spans="2:6" x14ac:dyDescent="0.25">
      <c r="B4" s="2">
        <f>B3+B2</f>
        <v>700</v>
      </c>
      <c r="C4" t="s">
        <v>2</v>
      </c>
      <c r="D4" t="s">
        <v>3</v>
      </c>
      <c r="E4" t="s">
        <v>7</v>
      </c>
    </row>
    <row r="6" spans="2:6" x14ac:dyDescent="0.25">
      <c r="B6" s="12">
        <v>260</v>
      </c>
      <c r="C6" t="s">
        <v>19</v>
      </c>
      <c r="D6" t="s">
        <v>20</v>
      </c>
    </row>
    <row r="7" spans="2:6" x14ac:dyDescent="0.25">
      <c r="B7" s="2">
        <v>600</v>
      </c>
      <c r="C7" t="s">
        <v>21</v>
      </c>
      <c r="D7" t="s">
        <v>22</v>
      </c>
    </row>
    <row r="8" spans="2:6" x14ac:dyDescent="0.25">
      <c r="B8" s="11">
        <v>1</v>
      </c>
      <c r="C8" t="s">
        <v>93</v>
      </c>
      <c r="E8" t="s">
        <v>30</v>
      </c>
    </row>
    <row r="9" spans="2:6" x14ac:dyDescent="0.25">
      <c r="B9" s="13">
        <v>5.8109984888007338E-2</v>
      </c>
      <c r="C9" t="s">
        <v>25</v>
      </c>
    </row>
    <row r="10" spans="2:6" x14ac:dyDescent="0.25">
      <c r="B10" s="14">
        <v>16.378422429223495</v>
      </c>
      <c r="C10" t="s">
        <v>82</v>
      </c>
      <c r="E10" t="s">
        <v>26</v>
      </c>
    </row>
    <row r="11" spans="2:6" x14ac:dyDescent="0.25">
      <c r="B11" s="10"/>
    </row>
    <row r="12" spans="2:6" x14ac:dyDescent="0.25">
      <c r="B12" s="1">
        <v>200</v>
      </c>
      <c r="C12" t="s">
        <v>8</v>
      </c>
      <c r="D12" t="s">
        <v>3</v>
      </c>
      <c r="E12" t="s">
        <v>31</v>
      </c>
      <c r="F12" s="7">
        <f>B12/B4</f>
        <v>0.2857142857142857</v>
      </c>
    </row>
    <row r="14" spans="2:6" x14ac:dyDescent="0.25">
      <c r="B14" t="s">
        <v>10</v>
      </c>
    </row>
    <row r="15" spans="2:6" x14ac:dyDescent="0.25">
      <c r="B15" s="5">
        <f>$B$12*F2</f>
        <v>144</v>
      </c>
      <c r="C15" t="s">
        <v>13</v>
      </c>
      <c r="D15" t="s">
        <v>3</v>
      </c>
      <c r="E15" t="s">
        <v>12</v>
      </c>
    </row>
    <row r="16" spans="2:6" x14ac:dyDescent="0.25">
      <c r="B16" s="5">
        <f>$B$12*F3</f>
        <v>56.000000000000007</v>
      </c>
      <c r="C16" t="s">
        <v>14</v>
      </c>
      <c r="D16" t="s">
        <v>3</v>
      </c>
    </row>
    <row r="18" spans="2:5" x14ac:dyDescent="0.25">
      <c r="B18" t="s">
        <v>11</v>
      </c>
    </row>
    <row r="19" spans="2:5" x14ac:dyDescent="0.25">
      <c r="B19" s="5">
        <f>B2-B15</f>
        <v>360</v>
      </c>
      <c r="C19" t="s">
        <v>0</v>
      </c>
      <c r="D19" t="s">
        <v>3</v>
      </c>
    </row>
    <row r="20" spans="2:5" x14ac:dyDescent="0.25">
      <c r="B20" s="5">
        <f>B3-B16</f>
        <v>140</v>
      </c>
      <c r="C20" t="s">
        <v>1</v>
      </c>
      <c r="D20" t="s">
        <v>3</v>
      </c>
    </row>
    <row r="21" spans="2:5" x14ac:dyDescent="0.25">
      <c r="B21" s="5">
        <f>B20+B19</f>
        <v>500</v>
      </c>
      <c r="C21" t="s">
        <v>2</v>
      </c>
      <c r="D21" t="s">
        <v>3</v>
      </c>
      <c r="E21" t="b">
        <f>B21=(B4-B12)</f>
        <v>1</v>
      </c>
    </row>
    <row r="24" spans="2:5" x14ac:dyDescent="0.25">
      <c r="B24" s="10">
        <f>(B2*10^6)*(1+0.03)^(2024-2019)/(B7*B6)</f>
        <v>3745.3470092769226</v>
      </c>
      <c r="C24" t="s">
        <v>24</v>
      </c>
      <c r="D24" t="s">
        <v>23</v>
      </c>
    </row>
    <row r="25" spans="2:5" x14ac:dyDescent="0.25">
      <c r="B25" s="10">
        <f>B24*(B9+0.018)</f>
        <v>285.05830427641007</v>
      </c>
      <c r="C25" t="s">
        <v>32</v>
      </c>
      <c r="D25" t="s">
        <v>27</v>
      </c>
    </row>
    <row r="27" spans="2:5" x14ac:dyDescent="0.25">
      <c r="B27" t="s">
        <v>15</v>
      </c>
    </row>
    <row r="28" spans="2:5" x14ac:dyDescent="0.25">
      <c r="B28" s="8">
        <f>1-F12</f>
        <v>0.7142857142857143</v>
      </c>
    </row>
    <row r="29" spans="2:5" x14ac:dyDescent="0.25">
      <c r="B29" t="s">
        <v>16</v>
      </c>
    </row>
    <row r="30" spans="2:5" x14ac:dyDescent="0.25">
      <c r="B30" s="9">
        <f>(B25/B10)/1.8</f>
        <v>9.6691684002140956</v>
      </c>
      <c r="E30" s="3">
        <v>43466</v>
      </c>
    </row>
    <row r="31" spans="2:5" x14ac:dyDescent="0.25">
      <c r="B31" t="s">
        <v>17</v>
      </c>
    </row>
    <row r="32" spans="2:5" x14ac:dyDescent="0.25">
      <c r="B32" s="9">
        <f>B30*B28</f>
        <v>6.9065488572957827</v>
      </c>
      <c r="E32" t="s">
        <v>18</v>
      </c>
    </row>
    <row r="35" spans="2:5" x14ac:dyDescent="0.25">
      <c r="B35">
        <v>2600</v>
      </c>
      <c r="C35" t="s">
        <v>137</v>
      </c>
      <c r="D35" t="s">
        <v>3</v>
      </c>
      <c r="E35" t="s">
        <v>18</v>
      </c>
    </row>
  </sheetData>
  <pageMargins left="0.7" right="0.7" top="0.75" bottom="0.75" header="0.3" footer="0.3"/>
  <pageSetup orientation="portrait" horizontalDpi="90" verticalDpi="90" r:id="rId1"/>
  <extLst>
    <ext xmlns:x14="http://schemas.microsoft.com/office/spreadsheetml/2009/9/main" uri="{78C0D931-6437-407d-A8EE-F0AAD7539E65}">
      <x14:conditionalFormattings>
        <x14:conditionalFormatting xmlns:xm="http://schemas.microsoft.com/office/excel/2006/main">
          <x14:cfRule type="containsText" priority="1" operator="containsText" id="{EF832EFA-9804-47D5-B84E-1131131775EC}">
            <xm:f>NOT(ISERROR(SEARCH("TRUE",E21)))</xm:f>
            <xm:f>"TRUE"</xm:f>
            <x14:dxf>
              <font>
                <color rgb="FF006100"/>
              </font>
              <fill>
                <patternFill>
                  <bgColor rgb="FFC6EFCE"/>
                </patternFill>
              </fill>
            </x14:dxf>
          </x14:cfRule>
          <xm:sqref>E21</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95E1BDC5029614ABF43223A464FD248" ma:contentTypeVersion="12" ma:contentTypeDescription="Create a new document." ma:contentTypeScope="" ma:versionID="4b53638bea34a38d749e5d1ad7dcb647">
  <xsd:schema xmlns:xsd="http://www.w3.org/2001/XMLSchema" xmlns:xs="http://www.w3.org/2001/XMLSchema" xmlns:p="http://schemas.microsoft.com/office/2006/metadata/properties" xmlns:ns2="f71abe4e-f5ff-49cd-8eff-5f4949acc510" xmlns:ns3="97b6fe81-1556-4112-94ca-31043ca39b71" targetNamespace="http://schemas.microsoft.com/office/2006/metadata/properties" ma:root="true" ma:fieldsID="5fde6207ad4f461e79c1ad85c02ad47f" ns2:_="" ns3:_="">
    <xsd:import namespace="f71abe4e-f5ff-49cd-8eff-5f4949acc510"/>
    <xsd:import namespace="97b6fe81-1556-4112-94ca-31043ca39b7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71abe4e-f5ff-49cd-8eff-5f4949acc5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DEAB23E-FF3B-433B-B0BD-E5E31987CF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71abe4e-f5ff-49cd-8eff-5f4949acc510"/>
    <ds:schemaRef ds:uri="97b6fe81-1556-4112-94ca-31043ca39b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43CF224-673F-4674-BAFC-4AD362586C33}">
  <ds:schemaRefs>
    <ds:schemaRef ds:uri="http://schemas.microsoft.com/sharepoint/v3/contenttype/forms"/>
  </ds:schemaRefs>
</ds:datastoreItem>
</file>

<file path=customXml/itemProps3.xml><?xml version="1.0" encoding="utf-8"?>
<ds:datastoreItem xmlns:ds="http://schemas.openxmlformats.org/officeDocument/2006/customXml" ds:itemID="{9274CF9A-43D8-4C30-B5F2-EA34FF02572B}">
  <ds:schemaRefs>
    <ds:schemaRef ds:uri="f71abe4e-f5ff-49cd-8eff-5f4949acc510"/>
    <ds:schemaRef ds:uri="http://schemas.microsoft.com/office/2006/documentManagement/types"/>
    <ds:schemaRef ds:uri="http://purl.org/dc/elements/1.1/"/>
    <ds:schemaRef ds:uri="http://purl.org/dc/dcmitype/"/>
    <ds:schemaRef ds:uri="http://www.w3.org/XML/1998/namespace"/>
    <ds:schemaRef ds:uri="http://schemas.microsoft.com/office/2006/metadata/properties"/>
    <ds:schemaRef ds:uri="http://schemas.microsoft.com/office/infopath/2007/PartnerControls"/>
    <ds:schemaRef ds:uri="http://schemas.openxmlformats.org/package/2006/metadata/core-properties"/>
    <ds:schemaRef ds:uri="97b6fe81-1556-4112-94ca-31043ca39b71"/>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Front Sheet</vt:lpstr>
      <vt:lpstr>Scenario 1</vt:lpstr>
      <vt:lpstr>Scenario 2</vt:lpstr>
      <vt:lpstr>Scenario 3</vt:lpstr>
      <vt:lpstr>assumptions</vt:lpstr>
      <vt:lpstr>'Scenario 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National Grid</dc:creator>
  <cp:lastModifiedBy>National Grid</cp:lastModifiedBy>
  <dcterms:created xsi:type="dcterms:W3CDTF">2020-04-07T09:03:52Z</dcterms:created>
  <dcterms:modified xsi:type="dcterms:W3CDTF">2020-04-29T14:25:39Z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0x010100095E1BDC5029614ABF43223A464FD248</vt:lpwstr>
  </property>
  <property fmtid="{D5CDD505-2E9C-101B-9397-08002B2CF9AE}" pid="3" name="_NewReviewCycle">
    <vt:lpwstr/>
  </property>
</Properties>
</file>